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0" yWindow="-345" windowWidth="14445" windowHeight="12240" tabRatio="756" firstSheet="7" activeTab="16"/>
  </bookViews>
  <sheets>
    <sheet name="States" sheetId="8" r:id="rId1"/>
    <sheet name="State Visits" sheetId="1" r:id="rId2"/>
    <sheet name="Diplomatic Contacts" sheetId="2" r:id="rId3"/>
    <sheet name="Cooperation" sheetId="3" r:id="rId4"/>
    <sheet name="Conflict" sheetId="4" r:id="rId5"/>
    <sheet name="PennGDP, constant" sheetId="5" r:id="rId6"/>
    <sheet name="PennGDP, current" sheetId="17" r:id="rId7"/>
    <sheet name="WBGDP, constant" sheetId="16" r:id="rId8"/>
    <sheet name="WBGDP, current" sheetId="15" r:id="rId9"/>
    <sheet name="Milex" sheetId="6" r:id="rId10"/>
    <sheet name="Capacity" sheetId="7" r:id="rId11"/>
    <sheet name="CINC" sheetId="9" r:id="rId12"/>
    <sheet name="Polity IV" sheetId="10" r:id="rId13"/>
    <sheet name="Exports" sheetId="11" r:id="rId14"/>
    <sheet name="Imports" sheetId="12" r:id="rId15"/>
    <sheet name="MID Freq" sheetId="14" r:id="rId16"/>
    <sheet name="MID Hostility" sheetId="13" r:id="rId17"/>
  </sheets>
  <calcPr calcId="145621"/>
</workbook>
</file>

<file path=xl/calcChain.xml><?xml version="1.0" encoding="utf-8"?>
<calcChain xmlns="http://schemas.openxmlformats.org/spreadsheetml/2006/main">
  <c r="W186" i="4" l="1"/>
  <c r="W185" i="4"/>
  <c r="W184" i="4"/>
  <c r="W183" i="4"/>
  <c r="W175" i="4"/>
  <c r="W169" i="4"/>
  <c r="W167" i="4"/>
  <c r="W166" i="4"/>
  <c r="W164" i="4"/>
  <c r="W163" i="4"/>
  <c r="W161" i="4"/>
  <c r="W159" i="4"/>
  <c r="W158" i="4"/>
  <c r="W153" i="4"/>
  <c r="W150" i="4"/>
  <c r="W147" i="4"/>
  <c r="W145" i="4"/>
  <c r="W144" i="4"/>
  <c r="W142" i="4"/>
  <c r="W141" i="4"/>
  <c r="W140" i="4"/>
  <c r="W139" i="4"/>
  <c r="W138" i="4"/>
  <c r="W136" i="4"/>
  <c r="W135" i="4"/>
  <c r="W119" i="4"/>
  <c r="W117" i="4"/>
  <c r="W113" i="4"/>
  <c r="W112" i="4"/>
  <c r="W109" i="4"/>
  <c r="W103" i="4"/>
  <c r="W97" i="4"/>
  <c r="W96" i="4"/>
  <c r="W87" i="4"/>
  <c r="W86" i="4"/>
  <c r="W85" i="4"/>
  <c r="W84" i="4"/>
  <c r="W83" i="4"/>
  <c r="W82" i="4"/>
  <c r="W74" i="4"/>
  <c r="W69" i="4"/>
  <c r="W66" i="4"/>
  <c r="W63" i="4"/>
  <c r="W60" i="4"/>
  <c r="W56" i="4"/>
  <c r="W55" i="4"/>
  <c r="W54" i="4"/>
  <c r="W53" i="4"/>
  <c r="W51" i="4"/>
  <c r="W45" i="4"/>
  <c r="W44" i="4"/>
  <c r="W43" i="4"/>
  <c r="W42" i="4"/>
  <c r="W40" i="4"/>
  <c r="W39" i="4"/>
  <c r="W37" i="4"/>
  <c r="W36" i="4"/>
  <c r="W35" i="4"/>
  <c r="W34" i="4"/>
  <c r="W7" i="4"/>
  <c r="V186" i="4"/>
  <c r="V185" i="4"/>
  <c r="V183" i="4"/>
  <c r="V182" i="4"/>
  <c r="V178" i="4"/>
  <c r="V176" i="4"/>
  <c r="V175" i="4"/>
  <c r="V174" i="4"/>
  <c r="V172" i="4"/>
  <c r="V171" i="4"/>
  <c r="V170" i="4"/>
  <c r="V169" i="4"/>
  <c r="V167" i="4"/>
  <c r="V164" i="4"/>
  <c r="V161" i="4"/>
  <c r="V160" i="4"/>
  <c r="V159" i="4"/>
  <c r="V158" i="4"/>
  <c r="V157" i="4"/>
  <c r="V156" i="4"/>
  <c r="V155" i="4"/>
  <c r="V153" i="4"/>
  <c r="V151" i="4"/>
  <c r="V148" i="4"/>
  <c r="V147" i="4"/>
  <c r="V146" i="4"/>
  <c r="V145" i="4"/>
  <c r="V141" i="4"/>
  <c r="V140" i="4"/>
  <c r="V139" i="4"/>
  <c r="V137" i="4"/>
  <c r="V136" i="4"/>
  <c r="V126" i="4"/>
  <c r="V124" i="4"/>
  <c r="V121" i="4"/>
  <c r="V119" i="4"/>
  <c r="V117" i="4"/>
  <c r="V116" i="4"/>
  <c r="V113" i="4"/>
  <c r="V109" i="4"/>
  <c r="V106" i="4"/>
  <c r="V99" i="4"/>
  <c r="V97" i="4"/>
  <c r="V96" i="4"/>
  <c r="V87" i="4"/>
  <c r="V86" i="4"/>
  <c r="V85" i="4"/>
  <c r="V84" i="4"/>
  <c r="V82" i="4"/>
  <c r="V78" i="4"/>
  <c r="V77" i="4"/>
  <c r="V74" i="4"/>
  <c r="V71" i="4"/>
  <c r="V69" i="4"/>
  <c r="V68" i="4"/>
  <c r="V67" i="4"/>
  <c r="V60" i="4"/>
  <c r="V59" i="4"/>
  <c r="V58" i="4"/>
  <c r="V57" i="4"/>
  <c r="V56" i="4"/>
  <c r="V53" i="4"/>
  <c r="V51" i="4"/>
  <c r="V50" i="4"/>
  <c r="V47" i="4"/>
  <c r="V46" i="4"/>
  <c r="V45" i="4"/>
  <c r="V44" i="4"/>
  <c r="V43" i="4"/>
  <c r="V42" i="4"/>
  <c r="V40" i="4"/>
  <c r="V39" i="4"/>
  <c r="V37" i="4"/>
  <c r="V35" i="4"/>
  <c r="V31" i="4"/>
  <c r="V27" i="4"/>
  <c r="V26" i="4"/>
  <c r="V24" i="4"/>
  <c r="V22" i="4"/>
  <c r="V10" i="4"/>
  <c r="V8" i="4"/>
  <c r="V7" i="4"/>
  <c r="U182" i="4"/>
  <c r="U180" i="4"/>
  <c r="U179" i="4"/>
  <c r="U178" i="4"/>
  <c r="U176" i="4"/>
  <c r="U175" i="4"/>
  <c r="U174" i="4"/>
  <c r="U172" i="4"/>
  <c r="U171" i="4"/>
  <c r="U170" i="4"/>
  <c r="U169" i="4"/>
  <c r="U167" i="4"/>
  <c r="U166" i="4"/>
  <c r="U164" i="4"/>
  <c r="U161" i="4"/>
  <c r="U159" i="4"/>
  <c r="U158" i="4"/>
  <c r="U155" i="4"/>
  <c r="U153" i="4"/>
  <c r="U152" i="4"/>
  <c r="U150" i="4"/>
  <c r="U149" i="4"/>
  <c r="U148" i="4"/>
  <c r="U146" i="4"/>
  <c r="U143" i="4"/>
  <c r="U142" i="4"/>
  <c r="U141" i="4"/>
  <c r="U140" i="4"/>
  <c r="U138" i="4"/>
  <c r="U136" i="4"/>
  <c r="U135" i="4"/>
  <c r="U129" i="4"/>
  <c r="U125" i="4"/>
  <c r="U124" i="4"/>
  <c r="U123" i="4"/>
  <c r="U120" i="4"/>
  <c r="U117" i="4"/>
  <c r="U116" i="4"/>
  <c r="U113" i="4"/>
  <c r="U112" i="4"/>
  <c r="U111" i="4"/>
  <c r="U110" i="4"/>
  <c r="U109" i="4"/>
  <c r="U108" i="4"/>
  <c r="U107" i="4"/>
  <c r="U106" i="4"/>
  <c r="U105" i="4"/>
  <c r="U97" i="4"/>
  <c r="U93" i="4"/>
  <c r="U92" i="4"/>
  <c r="U91" i="4"/>
  <c r="U86" i="4"/>
  <c r="U85" i="4"/>
  <c r="U84" i="4"/>
  <c r="U83" i="4"/>
  <c r="U81" i="4"/>
  <c r="U79" i="4"/>
  <c r="U78" i="4"/>
  <c r="U76" i="4"/>
  <c r="U74" i="4"/>
  <c r="U71" i="4"/>
  <c r="U70" i="4"/>
  <c r="U69" i="4"/>
  <c r="U68" i="4"/>
  <c r="U67" i="4"/>
  <c r="U60" i="4"/>
  <c r="U58" i="4"/>
  <c r="U56" i="4"/>
  <c r="U55" i="4"/>
  <c r="U53" i="4"/>
  <c r="U51" i="4"/>
  <c r="U50" i="4"/>
  <c r="U47" i="4"/>
  <c r="U45" i="4"/>
  <c r="U44" i="4"/>
  <c r="U43" i="4"/>
  <c r="U42" i="4"/>
  <c r="U37" i="4"/>
  <c r="U36" i="4"/>
  <c r="U35" i="4"/>
  <c r="U34" i="4"/>
  <c r="U31" i="4"/>
  <c r="U24" i="4"/>
  <c r="U22" i="4"/>
  <c r="U7" i="4"/>
  <c r="W186" i="3"/>
  <c r="W184" i="3"/>
  <c r="W183" i="3"/>
  <c r="W182" i="3"/>
  <c r="W180" i="3"/>
  <c r="W179" i="3"/>
  <c r="W178" i="3"/>
  <c r="W176" i="3"/>
  <c r="W175" i="3"/>
  <c r="W172" i="3"/>
  <c r="W171" i="3"/>
  <c r="W170" i="3"/>
  <c r="W169" i="3"/>
  <c r="W167" i="3"/>
  <c r="W166" i="3"/>
  <c r="W164" i="3"/>
  <c r="W160" i="3"/>
  <c r="W158" i="3"/>
  <c r="W154" i="3"/>
  <c r="W151" i="3"/>
  <c r="W149" i="3"/>
  <c r="W147" i="3"/>
  <c r="W146" i="3"/>
  <c r="W145" i="3"/>
  <c r="W144" i="3"/>
  <c r="W143" i="3"/>
  <c r="W142" i="3"/>
  <c r="W141" i="3"/>
  <c r="W140" i="3"/>
  <c r="W139" i="3"/>
  <c r="W126" i="3"/>
  <c r="W113" i="3"/>
  <c r="W112" i="3"/>
  <c r="W106" i="3"/>
  <c r="W97" i="3"/>
  <c r="W87" i="3"/>
  <c r="W86" i="3"/>
  <c r="W85" i="3"/>
  <c r="W84" i="3"/>
  <c r="W83" i="3"/>
  <c r="W82" i="3"/>
  <c r="W79" i="3"/>
  <c r="W78" i="3"/>
  <c r="W74" i="3"/>
  <c r="W73" i="3"/>
  <c r="W70" i="3"/>
  <c r="W69" i="3"/>
  <c r="W67" i="3"/>
  <c r="W66" i="3"/>
  <c r="W65" i="3"/>
  <c r="W60" i="3"/>
  <c r="W58" i="3"/>
  <c r="W55" i="3"/>
  <c r="W54" i="3"/>
  <c r="W53" i="3"/>
  <c r="W50" i="3"/>
  <c r="W47" i="3"/>
  <c r="W45" i="3"/>
  <c r="W44" i="3"/>
  <c r="W43" i="3"/>
  <c r="W42" i="3"/>
  <c r="W40" i="3"/>
  <c r="W39" i="3"/>
  <c r="W36" i="3"/>
  <c r="W31" i="3"/>
  <c r="W30" i="3"/>
  <c r="W25" i="3"/>
  <c r="W22" i="3"/>
  <c r="W11" i="3"/>
  <c r="W10" i="3"/>
  <c r="W8" i="3"/>
  <c r="W7" i="3"/>
  <c r="V186" i="3"/>
  <c r="V184" i="3"/>
  <c r="V182" i="3"/>
  <c r="V180" i="3"/>
  <c r="V179" i="3"/>
  <c r="V178" i="3"/>
  <c r="V175" i="3"/>
  <c r="V174" i="3"/>
  <c r="V172" i="3"/>
  <c r="V171" i="3"/>
  <c r="V170" i="3"/>
  <c r="V169" i="3"/>
  <c r="V167" i="3"/>
  <c r="V166" i="3"/>
  <c r="V165" i="3"/>
  <c r="V164" i="3"/>
  <c r="V163" i="3"/>
  <c r="V161" i="3"/>
  <c r="V159" i="3"/>
  <c r="V158" i="3"/>
  <c r="V157" i="3"/>
  <c r="V156" i="3"/>
  <c r="V153" i="3"/>
  <c r="V151" i="3"/>
  <c r="V149" i="3"/>
  <c r="V148" i="3"/>
  <c r="V147" i="3"/>
  <c r="V146" i="3"/>
  <c r="V143" i="3"/>
  <c r="V142" i="3"/>
  <c r="V141" i="3"/>
  <c r="V140" i="3"/>
  <c r="V139" i="3"/>
  <c r="V136" i="3"/>
  <c r="V135" i="3"/>
  <c r="V129" i="3"/>
  <c r="V126" i="3"/>
  <c r="V125" i="3"/>
  <c r="V124" i="3"/>
  <c r="V121" i="3"/>
  <c r="V119" i="3"/>
  <c r="V117" i="3"/>
  <c r="V113" i="3"/>
  <c r="V106" i="3"/>
  <c r="V103" i="3"/>
  <c r="V99" i="3"/>
  <c r="V96" i="3"/>
  <c r="V84" i="3"/>
  <c r="V83" i="3"/>
  <c r="V81" i="3"/>
  <c r="V80" i="3"/>
  <c r="V78" i="3"/>
  <c r="V74" i="3"/>
  <c r="V73" i="3"/>
  <c r="V71" i="3"/>
  <c r="V70" i="3"/>
  <c r="V69" i="3"/>
  <c r="V68" i="3"/>
  <c r="V67" i="3"/>
  <c r="V66" i="3"/>
  <c r="V65" i="3"/>
  <c r="V60" i="3"/>
  <c r="V58" i="3"/>
  <c r="V57" i="3"/>
  <c r="V56" i="3"/>
  <c r="V55" i="3"/>
  <c r="V54" i="3"/>
  <c r="V53" i="3"/>
  <c r="V49" i="3"/>
  <c r="V47" i="3"/>
  <c r="V46" i="3"/>
  <c r="V45" i="3"/>
  <c r="V44" i="3"/>
  <c r="V43" i="3"/>
  <c r="V39" i="3"/>
  <c r="V36" i="3"/>
  <c r="V35" i="3"/>
  <c r="V34" i="3"/>
  <c r="V31" i="3"/>
  <c r="V30" i="3"/>
  <c r="V25" i="3"/>
  <c r="V22" i="3"/>
  <c r="V10" i="3"/>
  <c r="V8" i="3"/>
  <c r="V7" i="3"/>
  <c r="U186" i="3"/>
  <c r="U184" i="3"/>
  <c r="U182" i="3"/>
  <c r="U180" i="3"/>
  <c r="U179" i="3"/>
  <c r="U178" i="3"/>
  <c r="U176" i="3"/>
  <c r="U175" i="3"/>
  <c r="U172" i="3"/>
  <c r="U171" i="3"/>
  <c r="U170" i="3"/>
  <c r="U169" i="3"/>
  <c r="U167" i="3"/>
  <c r="U165" i="3"/>
  <c r="U164" i="3"/>
  <c r="U161" i="3"/>
  <c r="U160" i="3"/>
  <c r="U157" i="3"/>
  <c r="U156" i="3"/>
  <c r="U155" i="3"/>
  <c r="U154" i="3"/>
  <c r="U153" i="3"/>
  <c r="U152" i="3"/>
  <c r="U151" i="3"/>
  <c r="U149" i="3"/>
  <c r="U148" i="3"/>
  <c r="U147" i="3"/>
  <c r="U146" i="3"/>
  <c r="U145" i="3"/>
  <c r="U142" i="3"/>
  <c r="U141" i="3"/>
  <c r="U140" i="3"/>
  <c r="U139" i="3"/>
  <c r="U137" i="3"/>
  <c r="U136" i="3"/>
  <c r="U135" i="3"/>
  <c r="U126" i="3"/>
  <c r="U125" i="3"/>
  <c r="U122" i="3"/>
  <c r="U121" i="3"/>
  <c r="U119" i="3"/>
  <c r="U117" i="3"/>
  <c r="U116" i="3"/>
  <c r="U114" i="3"/>
  <c r="U113" i="3"/>
  <c r="U112" i="3"/>
  <c r="U111" i="3"/>
  <c r="U109" i="3"/>
  <c r="U103" i="3"/>
  <c r="U99" i="3"/>
  <c r="U97" i="3"/>
  <c r="U95" i="3"/>
  <c r="U94" i="3"/>
  <c r="U93" i="3"/>
  <c r="U87" i="3"/>
  <c r="U86" i="3"/>
  <c r="U85" i="3"/>
  <c r="U84" i="3"/>
  <c r="U83" i="3"/>
  <c r="U81" i="3"/>
  <c r="U79" i="3"/>
  <c r="U77" i="3"/>
  <c r="U76" i="3"/>
  <c r="U73" i="3"/>
  <c r="U71" i="3"/>
  <c r="U70" i="3"/>
  <c r="U65" i="3"/>
  <c r="U64" i="3"/>
  <c r="U63" i="3"/>
  <c r="U59" i="3"/>
  <c r="U57" i="3"/>
  <c r="U56" i="3"/>
  <c r="U54" i="3"/>
  <c r="U53" i="3"/>
  <c r="U51" i="3"/>
  <c r="U50" i="3"/>
  <c r="U47" i="3"/>
  <c r="U46" i="3"/>
  <c r="U43" i="3"/>
  <c r="U42" i="3"/>
  <c r="U40" i="3"/>
  <c r="U36" i="3"/>
  <c r="U35" i="3"/>
  <c r="U34" i="3"/>
  <c r="U31" i="3"/>
  <c r="U30" i="3"/>
  <c r="U29" i="3"/>
  <c r="U28" i="3"/>
  <c r="U24" i="3"/>
  <c r="U22" i="3"/>
  <c r="U20" i="3"/>
  <c r="U12" i="3"/>
  <c r="U11" i="3"/>
  <c r="U8" i="3"/>
  <c r="U7" i="3"/>
  <c r="C191" i="3"/>
  <c r="C186" i="3"/>
  <c r="C185" i="3"/>
  <c r="C184" i="3"/>
  <c r="C183" i="3"/>
  <c r="C182" i="3"/>
  <c r="C181" i="3"/>
  <c r="C180" i="3"/>
  <c r="C179" i="3"/>
  <c r="C178" i="3"/>
  <c r="C176" i="3"/>
  <c r="C175" i="3"/>
  <c r="C174" i="3"/>
  <c r="C173" i="3"/>
  <c r="C172" i="3"/>
  <c r="C171" i="3"/>
  <c r="C170" i="3"/>
  <c r="C169" i="3"/>
  <c r="C167" i="3"/>
  <c r="C166" i="3"/>
  <c r="C165" i="3"/>
  <c r="C164" i="3"/>
  <c r="C163" i="3"/>
  <c r="C162" i="3"/>
  <c r="C161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1" i="3"/>
  <c r="C130" i="3"/>
  <c r="C127" i="3"/>
  <c r="C126" i="3"/>
  <c r="C124" i="3"/>
  <c r="C123" i="3"/>
  <c r="C122" i="3"/>
  <c r="C121" i="3"/>
  <c r="C119" i="3"/>
  <c r="C117" i="3"/>
  <c r="C116" i="3"/>
  <c r="C114" i="3"/>
  <c r="C113" i="3"/>
  <c r="C112" i="3"/>
  <c r="C111" i="3"/>
  <c r="C110" i="3"/>
  <c r="C109" i="3"/>
  <c r="C108" i="3"/>
  <c r="C106" i="3"/>
  <c r="C105" i="3"/>
  <c r="C104" i="3"/>
  <c r="C103" i="3"/>
  <c r="C102" i="3"/>
  <c r="C101" i="3"/>
  <c r="C100" i="3"/>
  <c r="C99" i="3"/>
  <c r="C98" i="3"/>
  <c r="C96" i="3"/>
  <c r="C94" i="3"/>
  <c r="C93" i="3"/>
  <c r="C92" i="3"/>
  <c r="C90" i="3"/>
  <c r="C87" i="3"/>
  <c r="C86" i="3"/>
  <c r="C85" i="3"/>
  <c r="C84" i="3"/>
  <c r="C83" i="3"/>
  <c r="C74" i="3"/>
  <c r="C73" i="3"/>
  <c r="C71" i="3"/>
  <c r="C70" i="3"/>
  <c r="C69" i="3"/>
  <c r="C66" i="3"/>
  <c r="C63" i="3"/>
  <c r="C62" i="3"/>
  <c r="C60" i="3"/>
  <c r="C57" i="3"/>
  <c r="C56" i="3"/>
  <c r="C55" i="3"/>
  <c r="C54" i="3"/>
  <c r="C53" i="3"/>
  <c r="C51" i="3"/>
  <c r="C50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6" i="3"/>
  <c r="C25" i="3"/>
  <c r="C24" i="3"/>
  <c r="C22" i="3"/>
  <c r="C14" i="3"/>
  <c r="C13" i="3"/>
  <c r="C12" i="3"/>
  <c r="C11" i="3"/>
  <c r="C10" i="3"/>
  <c r="C9" i="3"/>
  <c r="C8" i="3"/>
  <c r="C7" i="3"/>
  <c r="C186" i="4"/>
  <c r="C184" i="4"/>
  <c r="C183" i="4"/>
  <c r="C182" i="4"/>
  <c r="C180" i="4"/>
  <c r="C179" i="4"/>
  <c r="C178" i="4"/>
  <c r="C176" i="4"/>
  <c r="C175" i="4"/>
  <c r="C172" i="4"/>
  <c r="C171" i="4"/>
  <c r="C170" i="4"/>
  <c r="C169" i="4"/>
  <c r="C167" i="4"/>
  <c r="C166" i="4"/>
  <c r="C165" i="4"/>
  <c r="C164" i="4"/>
  <c r="C163" i="4"/>
  <c r="C161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1" i="4"/>
  <c r="C129" i="4"/>
  <c r="C127" i="4"/>
  <c r="C126" i="4"/>
  <c r="C124" i="4"/>
  <c r="C123" i="4"/>
  <c r="C122" i="4"/>
  <c r="C121" i="4"/>
  <c r="C119" i="4"/>
  <c r="C117" i="4"/>
  <c r="C114" i="4"/>
  <c r="C113" i="4"/>
  <c r="C112" i="4"/>
  <c r="C111" i="4"/>
  <c r="C109" i="4"/>
  <c r="C106" i="4"/>
  <c r="C101" i="4"/>
  <c r="C98" i="4"/>
  <c r="C97" i="4"/>
  <c r="C92" i="4"/>
  <c r="C90" i="4"/>
  <c r="C87" i="4"/>
  <c r="C86" i="4"/>
  <c r="C85" i="4"/>
  <c r="C84" i="4"/>
  <c r="C83" i="4"/>
  <c r="C74" i="4"/>
  <c r="C73" i="4"/>
  <c r="C71" i="4"/>
  <c r="C70" i="4"/>
  <c r="C69" i="4"/>
  <c r="C66" i="4"/>
  <c r="C63" i="4"/>
  <c r="C60" i="4"/>
  <c r="C57" i="4"/>
  <c r="C56" i="4"/>
  <c r="C55" i="4"/>
  <c r="C54" i="4"/>
  <c r="C53" i="4"/>
  <c r="C51" i="4"/>
  <c r="C50" i="4"/>
  <c r="C48" i="4"/>
  <c r="C47" i="4"/>
  <c r="C46" i="4"/>
  <c r="C45" i="4"/>
  <c r="C44" i="4"/>
  <c r="C43" i="4"/>
  <c r="C42" i="4"/>
  <c r="C41" i="4"/>
  <c r="C40" i="4"/>
  <c r="C39" i="4"/>
  <c r="C37" i="4"/>
  <c r="C36" i="4"/>
  <c r="C35" i="4"/>
  <c r="C34" i="4"/>
  <c r="C33" i="4"/>
  <c r="C31" i="4"/>
  <c r="C30" i="4"/>
  <c r="C29" i="4"/>
  <c r="C28" i="4"/>
  <c r="C27" i="4"/>
  <c r="C26" i="4"/>
  <c r="C25" i="4"/>
  <c r="C24" i="4"/>
  <c r="C22" i="4"/>
  <c r="C12" i="4"/>
  <c r="C11" i="4"/>
  <c r="C10" i="4"/>
  <c r="C8" i="4"/>
  <c r="C7" i="4"/>
</calcChain>
</file>

<file path=xl/sharedStrings.xml><?xml version="1.0" encoding="utf-8"?>
<sst xmlns="http://schemas.openxmlformats.org/spreadsheetml/2006/main" count="4235" uniqueCount="441">
  <si>
    <t>USA</t>
  </si>
  <si>
    <t>CAN</t>
  </si>
  <si>
    <t>BHM</t>
  </si>
  <si>
    <t>CUB</t>
  </si>
  <si>
    <t>HAI</t>
  </si>
  <si>
    <t>DOM</t>
  </si>
  <si>
    <t>JAM</t>
  </si>
  <si>
    <t>TRI</t>
  </si>
  <si>
    <t>BAR</t>
  </si>
  <si>
    <t>DMA</t>
  </si>
  <si>
    <t>GRN</t>
  </si>
  <si>
    <t>SLU</t>
  </si>
  <si>
    <t>SVG</t>
  </si>
  <si>
    <t>AAB</t>
  </si>
  <si>
    <t>SKN</t>
  </si>
  <si>
    <t>MEX</t>
  </si>
  <si>
    <t>BLZ</t>
  </si>
  <si>
    <t>GUA</t>
  </si>
  <si>
    <t>HON</t>
  </si>
  <si>
    <t>SAL</t>
  </si>
  <si>
    <t>NIC</t>
  </si>
  <si>
    <t>COS</t>
  </si>
  <si>
    <t>PAN</t>
  </si>
  <si>
    <t>COL</t>
  </si>
  <si>
    <t>VEN</t>
  </si>
  <si>
    <t>GUY</t>
  </si>
  <si>
    <t>SUR</t>
  </si>
  <si>
    <t>ECU</t>
  </si>
  <si>
    <t>PER</t>
  </si>
  <si>
    <t>BRA</t>
  </si>
  <si>
    <t>BOL</t>
  </si>
  <si>
    <t>PAR</t>
  </si>
  <si>
    <t>CHL</t>
  </si>
  <si>
    <t>ARG</t>
  </si>
  <si>
    <t>URU</t>
  </si>
  <si>
    <t>UKG</t>
  </si>
  <si>
    <t>IRE</t>
  </si>
  <si>
    <t>NTH</t>
  </si>
  <si>
    <t>BEL</t>
  </si>
  <si>
    <t>LUX</t>
  </si>
  <si>
    <t>FRN</t>
  </si>
  <si>
    <t>MNC</t>
  </si>
  <si>
    <t>LIE</t>
  </si>
  <si>
    <t>SWZ</t>
  </si>
  <si>
    <t>SPN</t>
  </si>
  <si>
    <t>AND</t>
  </si>
  <si>
    <t>POR</t>
  </si>
  <si>
    <t>GMY</t>
  </si>
  <si>
    <t>POL</t>
  </si>
  <si>
    <t>AUS</t>
  </si>
  <si>
    <t>HUN</t>
  </si>
  <si>
    <t>CZR</t>
  </si>
  <si>
    <t>SLO</t>
  </si>
  <si>
    <t>ITA</t>
  </si>
  <si>
    <t>SNM</t>
  </si>
  <si>
    <t>MLT</t>
  </si>
  <si>
    <t>ALB</t>
  </si>
  <si>
    <t>MAC</t>
  </si>
  <si>
    <t>CRO</t>
  </si>
  <si>
    <t>YUG</t>
  </si>
  <si>
    <t>BOS</t>
  </si>
  <si>
    <t>SLV</t>
  </si>
  <si>
    <t>GRC</t>
  </si>
  <si>
    <t>CYP</t>
  </si>
  <si>
    <t>BUL</t>
  </si>
  <si>
    <t>MLD</t>
  </si>
  <si>
    <t>ROM</t>
  </si>
  <si>
    <t>RUS</t>
  </si>
  <si>
    <t>EST</t>
  </si>
  <si>
    <t>LAT</t>
  </si>
  <si>
    <t>LIT</t>
  </si>
  <si>
    <t>UKR</t>
  </si>
  <si>
    <t>BLR</t>
  </si>
  <si>
    <t>ARM</t>
  </si>
  <si>
    <t>GRG</t>
  </si>
  <si>
    <t>AZE</t>
  </si>
  <si>
    <t>FIN</t>
  </si>
  <si>
    <t>SWD</t>
  </si>
  <si>
    <t>NOR</t>
  </si>
  <si>
    <t>DEN</t>
  </si>
  <si>
    <t>ICE</t>
  </si>
  <si>
    <t>CAP</t>
  </si>
  <si>
    <t>STP</t>
  </si>
  <si>
    <t>GNB</t>
  </si>
  <si>
    <t>EQG</t>
  </si>
  <si>
    <t>GAM</t>
  </si>
  <si>
    <t>MLI</t>
  </si>
  <si>
    <t>SEN</t>
  </si>
  <si>
    <t>BEN</t>
  </si>
  <si>
    <t>MAA</t>
  </si>
  <si>
    <t>NIR</t>
  </si>
  <si>
    <t>CDI</t>
  </si>
  <si>
    <t>GUI</t>
  </si>
  <si>
    <t>BFO</t>
  </si>
  <si>
    <t>LBR</t>
  </si>
  <si>
    <t>SIE</t>
  </si>
  <si>
    <t>GHA</t>
  </si>
  <si>
    <t>TOG</t>
  </si>
  <si>
    <t>CAO</t>
  </si>
  <si>
    <t>NIG</t>
  </si>
  <si>
    <t>GAB</t>
  </si>
  <si>
    <t>CEN</t>
  </si>
  <si>
    <t>CHA</t>
  </si>
  <si>
    <t>CON</t>
  </si>
  <si>
    <t>DRC</t>
  </si>
  <si>
    <t>UGA</t>
  </si>
  <si>
    <t>KEN</t>
  </si>
  <si>
    <t>TAZ</t>
  </si>
  <si>
    <t>BUI</t>
  </si>
  <si>
    <t>RWA</t>
  </si>
  <si>
    <t>SOM</t>
  </si>
  <si>
    <t>DJI</t>
  </si>
  <si>
    <t>ETH</t>
  </si>
  <si>
    <t>ERI</t>
  </si>
  <si>
    <t>ANG</t>
  </si>
  <si>
    <t>MZM</t>
  </si>
  <si>
    <t>ZAM</t>
  </si>
  <si>
    <t>ZIM</t>
  </si>
  <si>
    <t>MAW</t>
  </si>
  <si>
    <t>SAF</t>
  </si>
  <si>
    <t>NAM</t>
  </si>
  <si>
    <t>LES</t>
  </si>
  <si>
    <t>BOT</t>
  </si>
  <si>
    <t>SWA</t>
  </si>
  <si>
    <t>MAG</t>
  </si>
  <si>
    <t>COM</t>
  </si>
  <si>
    <t>MAS</t>
  </si>
  <si>
    <t>SEY</t>
  </si>
  <si>
    <t>MOR</t>
  </si>
  <si>
    <t>ALG</t>
  </si>
  <si>
    <t>TUN</t>
  </si>
  <si>
    <t>LIB</t>
  </si>
  <si>
    <t>SUD</t>
  </si>
  <si>
    <t>IRN</t>
  </si>
  <si>
    <t>TUR</t>
  </si>
  <si>
    <t>IRQ</t>
  </si>
  <si>
    <t>EGY</t>
  </si>
  <si>
    <t>SYR</t>
  </si>
  <si>
    <t>LEB</t>
  </si>
  <si>
    <t>JOR</t>
  </si>
  <si>
    <t>ISR</t>
  </si>
  <si>
    <t>SAU</t>
  </si>
  <si>
    <t>YEM</t>
  </si>
  <si>
    <t>KUW</t>
  </si>
  <si>
    <t>BAH</t>
  </si>
  <si>
    <t>QAT</t>
  </si>
  <si>
    <t>UAE</t>
  </si>
  <si>
    <t>OMA</t>
  </si>
  <si>
    <t>AFG</t>
  </si>
  <si>
    <t>TKM</t>
  </si>
  <si>
    <t>TAJ</t>
  </si>
  <si>
    <t>KYR</t>
  </si>
  <si>
    <t>UZB</t>
  </si>
  <si>
    <t>KZK</t>
  </si>
  <si>
    <t>CHN</t>
  </si>
  <si>
    <t>MON</t>
  </si>
  <si>
    <t>TAW</t>
  </si>
  <si>
    <t>PRK</t>
  </si>
  <si>
    <t>ROK</t>
  </si>
  <si>
    <t>JPN</t>
  </si>
  <si>
    <t>IND</t>
  </si>
  <si>
    <t>BHU</t>
  </si>
  <si>
    <t>PAK</t>
  </si>
  <si>
    <t>BNG</t>
  </si>
  <si>
    <t>MYA</t>
  </si>
  <si>
    <t>SRI</t>
  </si>
  <si>
    <t>MAD</t>
  </si>
  <si>
    <t>NEP</t>
  </si>
  <si>
    <t>THI</t>
  </si>
  <si>
    <t>CAM</t>
  </si>
  <si>
    <t>LAO</t>
  </si>
  <si>
    <t>DRV</t>
  </si>
  <si>
    <t>MAL</t>
  </si>
  <si>
    <t>SIN</t>
  </si>
  <si>
    <t>BRU</t>
  </si>
  <si>
    <t>PHI</t>
  </si>
  <si>
    <t>INS</t>
  </si>
  <si>
    <t>AUL</t>
  </si>
  <si>
    <t>PNG</t>
  </si>
  <si>
    <t>NEW</t>
  </si>
  <si>
    <t>VAN</t>
  </si>
  <si>
    <t>SOL</t>
  </si>
  <si>
    <t>KIR</t>
  </si>
  <si>
    <t>TUV</t>
  </si>
  <si>
    <t>FIJ</t>
  </si>
  <si>
    <t>TON</t>
  </si>
  <si>
    <t>NAU</t>
  </si>
  <si>
    <t>MSI</t>
  </si>
  <si>
    <t>PAL</t>
  </si>
  <si>
    <t>FSM</t>
  </si>
  <si>
    <t>WSM</t>
  </si>
  <si>
    <t>ccode</t>
  </si>
  <si>
    <t>abbrev</t>
  </si>
  <si>
    <t>MNG</t>
  </si>
  <si>
    <t>.</t>
  </si>
  <si>
    <t>SER</t>
  </si>
  <si>
    <t>KOS</t>
  </si>
  <si>
    <t>ETM</t>
  </si>
  <si>
    <t>CZE</t>
  </si>
  <si>
    <t>Central African Republic</t>
  </si>
  <si>
    <t>China</t>
  </si>
  <si>
    <t>Czech Republic</t>
  </si>
  <si>
    <t>Dominican Republic</t>
  </si>
  <si>
    <t>Guinea-Bissau</t>
  </si>
  <si>
    <t>Iceland</t>
  </si>
  <si>
    <t>Macedonia</t>
  </si>
  <si>
    <t>North Korea</t>
  </si>
  <si>
    <t>South Korea</t>
  </si>
  <si>
    <t>Trinidad and Tobago</t>
  </si>
  <si>
    <t>United Arab Emirates</t>
  </si>
  <si>
    <t>United Kingdom</t>
  </si>
  <si>
    <t>United States of America</t>
  </si>
  <si>
    <t>Vietnam</t>
  </si>
  <si>
    <t>Yugoslavia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</si>
  <si>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</si>
  <si>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</si>
  <si>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</si>
  <si>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</si>
  <si>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</si>
  <si>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</si>
  <si>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</si>
  <si>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</si>
  <si>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</si>
  <si>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</si>
  <si>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</si>
  <si>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</si>
  <si>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</si>
  <si>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</si>
  <si>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</si>
  <si>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</si>
  <si>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</si>
  <si>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</si>
  <si>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</si>
  <si>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</si>
  <si>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</si>
  <si>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</si>
  <si>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</si>
  <si>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</si>
  <si>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</si>
  <si>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</si>
  <si>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</si>
  <si>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</si>
  <si>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</si>
  <si>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</si>
  <si>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Chad</t>
  </si>
  <si>
    <t>Chile</t>
  </si>
  <si>
    <t>Colombia</t>
  </si>
  <si>
    <t>Comoros</t>
  </si>
  <si>
    <t>Costa Rica</t>
  </si>
  <si>
    <t>Croatia</t>
  </si>
  <si>
    <t>Cuba</t>
  </si>
  <si>
    <t>Cyprus</t>
  </si>
  <si>
    <t>Denmark</t>
  </si>
  <si>
    <t>Djibouti</t>
  </si>
  <si>
    <t>Dominica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</si>
  <si>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</si>
  <si>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</si>
  <si>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</si>
  <si>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</si>
  <si>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</si>
  <si>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</si>
  <si>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</si>
  <si>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</si>
  <si>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</si>
  <si>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</si>
  <si>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</si>
  <si>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</si>
  <si>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</si>
  <si>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</si>
  <si>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</si>
  <si>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</si>
  <si>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Guatemala</t>
  </si>
  <si>
    <t>Guinea</t>
  </si>
  <si>
    <t>Guyana</t>
  </si>
  <si>
    <t>Haiti</t>
  </si>
  <si>
    <t>Honduras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</si>
  <si>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</si>
  <si>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</si>
  <si>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</si>
  <si>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</si>
  <si>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</si>
  <si>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</si>
  <si>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</si>
  <si>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</si>
  <si>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</si>
  <si>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</si>
  <si>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</si>
  <si>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</si>
  <si>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</si>
  <si>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</si>
  <si>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</si>
  <si>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</si>
  <si>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</si>
  <si>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</si>
  <si>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</si>
  <si>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</si>
  <si>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</si>
  <si>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</si>
  <si>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</si>
  <si>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</si>
  <si>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</si>
  <si>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</si>
  <si>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</si>
  <si>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</si>
  <si>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</si>
  <si>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</si>
  <si>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</si>
  <si>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</si>
  <si>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</si>
  <si>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</si>
  <si>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</si>
  <si>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</si>
  <si>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</si>
  <si>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</si>
  <si>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</si>
  <si>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</si>
  <si>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</si>
  <si>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</si>
  <si>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</si>
  <si>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</si>
  <si>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</si>
  <si>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</si>
  <si>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</si>
  <si>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</si>
  <si>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</si>
  <si>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</si>
  <si>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</si>
  <si>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</si>
  <si>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</si>
  <si>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</si>
  <si>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</si>
  <si>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</si>
  <si>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</si>
  <si>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</si>
  <si>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</si>
  <si>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</si>
  <si>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</si>
  <si>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</si>
  <si>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Seychelles</t>
  </si>
  <si>
    <t>Sierra Leone</t>
  </si>
  <si>
    <t>Singapore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</si>
  <si>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</si>
  <si>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</si>
  <si>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</si>
  <si>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</si>
  <si>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</si>
  <si>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</si>
  <si>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</si>
  <si>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</si>
  <si>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</si>
  <si>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</si>
  <si>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</si>
  <si>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</si>
  <si>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Tajikstan</t>
  </si>
  <si>
    <t>Tanzania</t>
  </si>
  <si>
    <t>Thailand</t>
  </si>
  <si>
    <t>Timor-Leste</t>
  </si>
  <si>
    <t>Togo</t>
  </si>
  <si>
    <t>Tonga</t>
  </si>
  <si>
    <t>Tunisia</t>
  </si>
  <si>
    <t>Turkey</t>
  </si>
  <si>
    <t>Turkmenistan</t>
  </si>
  <si>
    <t>Uganda</t>
  </si>
  <si>
    <t>Ukraine</t>
  </si>
  <si>
    <t>Uruguay</t>
  </si>
  <si>
    <t>Uzbekistan</t>
  </si>
  <si>
    <t>Vanuatu</t>
  </si>
  <si>
    <t>Venezuela</t>
  </si>
  <si>
    <t>Yemen</t>
  </si>
  <si>
    <t>Zambia</t>
  </si>
  <si>
    <t>Zimbabwe</t>
  </si>
  <si>
    <t>name</t>
  </si>
  <si>
    <t>Grenada</t>
  </si>
  <si>
    <t>Saint Lucia</t>
  </si>
  <si>
    <t>Saint Vincent and the Grenadines</t>
  </si>
  <si>
    <t>Saint Kitts and Nevis</t>
  </si>
  <si>
    <t>Monaco</t>
  </si>
  <si>
    <t>Liechtenstein</t>
  </si>
  <si>
    <t>Andorra</t>
  </si>
  <si>
    <t>Slovaki</t>
  </si>
  <si>
    <t>San Marino</t>
  </si>
  <si>
    <t>Bosnia</t>
  </si>
  <si>
    <t>Sao Tome y Princepe</t>
  </si>
  <si>
    <t>Cote d'Ivoire</t>
  </si>
  <si>
    <t>Republic of Congo</t>
  </si>
  <si>
    <t>Democratic Republic of Congo</t>
  </si>
  <si>
    <t>Kazahkstan</t>
  </si>
  <si>
    <t>Tawain</t>
  </si>
  <si>
    <t>Myanmar</t>
  </si>
  <si>
    <t>Tuvalu</t>
  </si>
  <si>
    <t>Nauru</t>
  </si>
  <si>
    <t>Marshall Islands</t>
  </si>
  <si>
    <t>Western Samoa</t>
  </si>
  <si>
    <t>Annual State Visits Received</t>
  </si>
  <si>
    <r>
      <t xml:space="preserve">Bond, Doug, Joe Bond, Churl Oh, J. Craig Jenkins, and Charles Lewis Taylor. 2003.  "Integrated Data for Events Analysis: An Event Typology for Automated Events Data Development."  </t>
    </r>
    <r>
      <rPr>
        <i/>
        <sz val="11"/>
        <color theme="1"/>
        <rFont val="Calibri"/>
        <family val="2"/>
        <scheme val="minor"/>
      </rPr>
      <t>Journal of Peace Research</t>
    </r>
    <r>
      <rPr>
        <sz val="11"/>
        <color theme="1"/>
        <rFont val="Calibri"/>
        <family val="2"/>
        <scheme val="minor"/>
      </rPr>
      <t>, 40:733-745.</t>
    </r>
  </si>
  <si>
    <t>Diplomatic Contacts Received</t>
  </si>
  <si>
    <t>Diplomatic Contacts Database</t>
  </si>
  <si>
    <t>Rhamey, J. Patrick, Kirssa Cline, Sverre Bodung, Alexis Henshaw, Beau James, Chansuk Kang, Alesia Sedziaka, Aakriti Tandon, and Thomas J. Volgy.  2010.  "The Diplomatic Contacts Database."  Tucson, AZ: School of Government and Public Policy, University of Arizona (Version 1.1).</t>
  </si>
  <si>
    <t>Annual Number of Cooperative Activites Modified by the Goldstein Scale</t>
  </si>
  <si>
    <t>IDEA Data</t>
  </si>
  <si>
    <r>
      <rPr>
        <sz val="11"/>
        <color theme="1"/>
        <rFont val="Calibri"/>
        <family val="2"/>
        <scheme val="minor"/>
      </rPr>
      <t xml:space="preserve">Goldstein, Joshua.  1991.  "A Conflict-Cooperation Scale for WEIS Events Data."  </t>
    </r>
    <r>
      <rPr>
        <i/>
        <sz val="11"/>
        <color theme="1"/>
        <rFont val="Calibri"/>
        <family val="2"/>
        <scheme val="minor"/>
      </rPr>
      <t>Journal of Conflict Resolution</t>
    </r>
    <r>
      <rPr>
        <sz val="11"/>
        <color theme="1"/>
        <rFont val="Calibri"/>
        <family val="2"/>
        <scheme val="minor"/>
      </rPr>
      <t>.  36:369-385.</t>
    </r>
  </si>
  <si>
    <t>Penn World Tables</t>
  </si>
  <si>
    <t>Czechoslovakia</t>
  </si>
  <si>
    <t>GDR</t>
  </si>
  <si>
    <t>YAR</t>
  </si>
  <si>
    <t>YPR</t>
  </si>
  <si>
    <t>Tax/GDP= β_0+β_1 (Time)+ β_2 (Mining/GDP)+ β_3 (CrudeOilExports/(Total Exports))+ β_4 (Exports/GDP)+ β_5 (ConstantGDP)</t>
  </si>
  <si>
    <t>Relative Political Extraction</t>
  </si>
  <si>
    <t>Arbetman-Rabinowitz, Marina.  2009.  "2009-TRC RPE Data."  TransResearch Institute.</t>
  </si>
  <si>
    <t>Stockholm International Peace Research Institute (SIPRI)</t>
  </si>
  <si>
    <t>Composite Index of National Capability (CINC) Scores</t>
  </si>
  <si>
    <r>
      <t xml:space="preserve">Singer, J. David, Stuart Bremer, and John Stuckey.  1972.  "Capability Distribution, Uncertainty, and Major Power War, 1820-1965." in Bruce Russett (ed), </t>
    </r>
    <r>
      <rPr>
        <i/>
        <sz val="11"/>
        <color theme="1"/>
        <rFont val="Calibri"/>
        <family val="2"/>
        <scheme val="minor"/>
      </rPr>
      <t>Peace, War, and Numbers</t>
    </r>
    <r>
      <rPr>
        <sz val="11"/>
        <color theme="1"/>
        <rFont val="Calibri"/>
        <family val="2"/>
        <scheme val="minor"/>
      </rPr>
      <t>.  Beverly Hills, CA: Sage, 19-48.</t>
    </r>
  </si>
  <si>
    <t>Correlates of War</t>
  </si>
  <si>
    <t>ccocde</t>
  </si>
  <si>
    <t>Polity IV Annual Time-Series</t>
  </si>
  <si>
    <t>Polity IV Project</t>
  </si>
  <si>
    <t>Marshall, Monty G., Ted Robert Gurr, and Keith Jaggers.  Polity IV Project: Political Regime Characteristics and Transitions, 1800-2009.  www.systemicpeace.org/polity/polity4.htm</t>
  </si>
  <si>
    <t>Correlates of War Project</t>
  </si>
  <si>
    <t>Highest Annual MID Hostility</t>
  </si>
  <si>
    <t>Number of Annual MID Onsets</t>
  </si>
  <si>
    <r>
      <t xml:space="preserve">Ghosn, Faten, Glenn Palmer, and Stuart Bremer.  2004.  "The MID3 Data Set, 1993-2001: Procedures, Coding Rules, and Description."  </t>
    </r>
    <r>
      <rPr>
        <i/>
        <sz val="11"/>
        <color theme="1"/>
        <rFont val="Calibri"/>
        <family val="2"/>
        <scheme val="minor"/>
      </rPr>
      <t>Conflict Management and Peace Science</t>
    </r>
    <r>
      <rPr>
        <sz val="11"/>
        <color theme="1"/>
        <rFont val="Calibri"/>
        <family val="2"/>
        <scheme val="minor"/>
      </rPr>
      <t>, 21: 133-154.</t>
    </r>
  </si>
  <si>
    <t>Hest, Alan, Robert Summers, and Bettina Aten.  2011.  "Penn World Tables 7.0."  Philadelphia, PA: Center for the International Comparisons of Production, Income and Prices at the University of Pennsylvania.</t>
  </si>
  <si>
    <t>Gross Domestic Product (Current U.S. Dollars)</t>
  </si>
  <si>
    <t>World Bank</t>
  </si>
  <si>
    <r>
      <t xml:space="preserve">Perlo-Freeman, S., O. Ismail, and C. Perdomo.  2010.  "Military Expenditure."  </t>
    </r>
    <r>
      <rPr>
        <i/>
        <sz val="11"/>
        <color theme="1"/>
        <rFont val="Calibri"/>
        <family val="2"/>
        <scheme val="minor"/>
      </rPr>
      <t>SIPRI Yearbook 2010</t>
    </r>
    <r>
      <rPr>
        <sz val="11"/>
        <color theme="1"/>
        <rFont val="Calibri"/>
        <family val="2"/>
        <scheme val="minor"/>
      </rPr>
      <t>.  Oxford, UK: Oxford University Press, pp. 179-258.</t>
    </r>
  </si>
  <si>
    <t>MNT</t>
  </si>
  <si>
    <t>East Germany</t>
  </si>
  <si>
    <t>VAT</t>
  </si>
  <si>
    <t>Vatican City</t>
  </si>
  <si>
    <t>Kosovo</t>
  </si>
  <si>
    <t>Yemen, Democratic People's Republic</t>
  </si>
  <si>
    <t>HKG</t>
  </si>
  <si>
    <t>Hong Kong</t>
  </si>
  <si>
    <t>Gross Domestic Product (Current Prices, in billions)</t>
  </si>
  <si>
    <t>Gross Domestic Product (Constant Prices, 2000 U.S. Dollars)</t>
  </si>
  <si>
    <t>Gross Domestic Product (Constant Prices, 2005 International Dollars, in billions)</t>
  </si>
  <si>
    <t>Military Expenditures (2009 Constant Dollars, in millions)</t>
  </si>
  <si>
    <t>Exports Percent of GDP</t>
  </si>
  <si>
    <t>Imports Percent of GDP</t>
  </si>
  <si>
    <t>World Bank national accounts data and OECD National Accounts data files from the World Development Indicators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</si>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</sst>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맑은 고딕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3" fillId="8" borderId="8" applyNumberFormat="0" applyFont="0" applyAlignment="0" applyProtection="0"/>
    <xf numFmtId="0" fontId="25" fillId="0" borderId="0"/>
    <xf numFmtId="0" fontId="23" fillId="0" borderId="0"/>
  </cellStyleXfs>
  <cellXfs count="136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ill="1"/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 applyProtection="1">
      <alignment horizontal="right"/>
      <protection locked="0"/>
    </xf>
    <xf numFmtId="0" fontId="2" fillId="0" borderId="0" xfId="43" applyFont="1"/>
    <xf numFmtId="1" fontId="2" fillId="0" borderId="0" xfId="43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2" fillId="0" borderId="0" xfId="43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21" fillId="0" borderId="0" xfId="42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cel Built-in Normal" xfId="50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 2" xfId="49"/>
    <cellStyle name="Normal 2 2 2 2" xfId="45"/>
    <cellStyle name="Normal 2 3" xfId="47"/>
    <cellStyle name="Normal 3" xfId="43"/>
    <cellStyle name="Note" xfId="15" builtinId="10" customBuiltin="1"/>
    <cellStyle name="Note 2" xfId="48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표준 2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selection activeCell="M27" sqref="M27"/>
    </sheetView>
  </sheetViews>
  <sheetFormatPr defaultRowHeight="15"/>
  <cols>
    <col min="1" max="16384" width="9.140625" style="15"/>
  </cols>
  <sheetData>
    <row r="1" spans="1:3">
      <c r="A1" s="15" t="s">
        <v>191</v>
      </c>
      <c r="B1" s="15" t="s">
        <v>192</v>
      </c>
      <c r="C1" s="15" t="s">
        <v>371</v>
      </c>
    </row>
    <row r="2" spans="1:3">
      <c r="A2" s="15">
        <v>2</v>
      </c>
      <c r="B2" s="15" t="s">
        <v>0</v>
      </c>
      <c r="C2" s="15" t="s">
        <v>211</v>
      </c>
    </row>
    <row r="3" spans="1:3">
      <c r="A3" s="15">
        <v>20</v>
      </c>
      <c r="B3" s="15" t="s">
        <v>1</v>
      </c>
      <c r="C3" s="15" t="s">
        <v>242</v>
      </c>
    </row>
    <row r="4" spans="1:3">
      <c r="A4" s="15">
        <v>31</v>
      </c>
      <c r="B4" s="15" t="s">
        <v>2</v>
      </c>
      <c r="C4" s="15" t="s">
        <v>224</v>
      </c>
    </row>
    <row r="5" spans="1:3">
      <c r="A5" s="15">
        <v>40</v>
      </c>
      <c r="B5" s="15" t="s">
        <v>3</v>
      </c>
      <c r="C5" s="15" t="s">
        <v>250</v>
      </c>
    </row>
    <row r="6" spans="1:3">
      <c r="A6" s="15">
        <v>41</v>
      </c>
      <c r="B6" s="15" t="s">
        <v>4</v>
      </c>
      <c r="C6" s="15" t="s">
        <v>274</v>
      </c>
    </row>
    <row r="7" spans="1:3">
      <c r="A7" s="15">
        <v>42</v>
      </c>
      <c r="B7" s="15" t="s">
        <v>5</v>
      </c>
      <c r="C7" s="15" t="s">
        <v>202</v>
      </c>
    </row>
    <row r="8" spans="1:3">
      <c r="A8" s="15">
        <v>51</v>
      </c>
      <c r="B8" s="15" t="s">
        <v>6</v>
      </c>
      <c r="C8" s="15" t="s">
        <v>284</v>
      </c>
    </row>
    <row r="9" spans="1:3">
      <c r="A9" s="15">
        <v>52</v>
      </c>
      <c r="B9" s="15" t="s">
        <v>7</v>
      </c>
      <c r="C9" s="15" t="s">
        <v>208</v>
      </c>
    </row>
    <row r="10" spans="1:3">
      <c r="A10" s="15">
        <v>53</v>
      </c>
      <c r="B10" s="15" t="s">
        <v>8</v>
      </c>
      <c r="C10" s="15" t="s">
        <v>227</v>
      </c>
    </row>
    <row r="11" spans="1:3">
      <c r="A11" s="15">
        <v>54</v>
      </c>
      <c r="B11" s="15" t="s">
        <v>9</v>
      </c>
      <c r="C11" s="15" t="s">
        <v>254</v>
      </c>
    </row>
    <row r="12" spans="1:3">
      <c r="A12" s="15">
        <v>55</v>
      </c>
      <c r="B12" s="15" t="s">
        <v>10</v>
      </c>
      <c r="C12" s="15" t="s">
        <v>372</v>
      </c>
    </row>
    <row r="13" spans="1:3">
      <c r="A13" s="15">
        <v>56</v>
      </c>
      <c r="B13" s="15" t="s">
        <v>11</v>
      </c>
      <c r="C13" s="15" t="s">
        <v>373</v>
      </c>
    </row>
    <row r="14" spans="1:3">
      <c r="A14" s="15">
        <v>57</v>
      </c>
      <c r="B14" s="15" t="s">
        <v>12</v>
      </c>
      <c r="C14" s="15" t="s">
        <v>374</v>
      </c>
    </row>
    <row r="15" spans="1:3">
      <c r="A15" s="15">
        <v>58</v>
      </c>
      <c r="B15" s="15" t="s">
        <v>13</v>
      </c>
      <c r="C15" s="15" t="s">
        <v>218</v>
      </c>
    </row>
    <row r="16" spans="1:3">
      <c r="A16" s="15">
        <v>60</v>
      </c>
      <c r="B16" s="15" t="s">
        <v>14</v>
      </c>
      <c r="C16" s="15" t="s">
        <v>375</v>
      </c>
    </row>
    <row r="17" spans="1:3">
      <c r="A17" s="15">
        <v>70</v>
      </c>
      <c r="B17" s="15" t="s">
        <v>15</v>
      </c>
      <c r="C17" s="15" t="s">
        <v>307</v>
      </c>
    </row>
    <row r="18" spans="1:3">
      <c r="A18" s="15">
        <v>80</v>
      </c>
      <c r="B18" s="15" t="s">
        <v>16</v>
      </c>
      <c r="C18" s="15" t="s">
        <v>230</v>
      </c>
    </row>
    <row r="19" spans="1:3">
      <c r="A19" s="15">
        <v>90</v>
      </c>
      <c r="B19" s="15" t="s">
        <v>17</v>
      </c>
      <c r="C19" s="15" t="s">
        <v>271</v>
      </c>
    </row>
    <row r="20" spans="1:3">
      <c r="A20" s="15">
        <v>91</v>
      </c>
      <c r="B20" s="15" t="s">
        <v>18</v>
      </c>
      <c r="C20" s="15" t="s">
        <v>275</v>
      </c>
    </row>
    <row r="21" spans="1:3">
      <c r="A21" s="15">
        <v>92</v>
      </c>
      <c r="B21" s="15" t="s">
        <v>19</v>
      </c>
      <c r="C21" s="15" t="s">
        <v>257</v>
      </c>
    </row>
    <row r="22" spans="1:3">
      <c r="A22" s="15">
        <v>93</v>
      </c>
      <c r="B22" s="15" t="s">
        <v>20</v>
      </c>
      <c r="C22" s="15" t="s">
        <v>318</v>
      </c>
    </row>
    <row r="23" spans="1:3">
      <c r="A23" s="15">
        <v>94</v>
      </c>
      <c r="B23" s="15" t="s">
        <v>21</v>
      </c>
      <c r="C23" s="15" t="s">
        <v>248</v>
      </c>
    </row>
    <row r="24" spans="1:3">
      <c r="A24" s="15">
        <v>95</v>
      </c>
      <c r="B24" s="15" t="s">
        <v>22</v>
      </c>
      <c r="C24" s="15" t="s">
        <v>325</v>
      </c>
    </row>
    <row r="25" spans="1:3">
      <c r="A25" s="15">
        <v>100</v>
      </c>
      <c r="B25" s="15" t="s">
        <v>23</v>
      </c>
      <c r="C25" s="15" t="s">
        <v>246</v>
      </c>
    </row>
    <row r="26" spans="1:3">
      <c r="A26" s="15">
        <v>101</v>
      </c>
      <c r="B26" s="15" t="s">
        <v>24</v>
      </c>
      <c r="C26" s="15" t="s">
        <v>367</v>
      </c>
    </row>
    <row r="27" spans="1:3">
      <c r="A27" s="15">
        <v>110</v>
      </c>
      <c r="B27" s="15" t="s">
        <v>25</v>
      </c>
      <c r="C27" s="15" t="s">
        <v>273</v>
      </c>
    </row>
    <row r="28" spans="1:3">
      <c r="A28" s="15">
        <v>115</v>
      </c>
      <c r="B28" s="15" t="s">
        <v>26</v>
      </c>
      <c r="C28" s="15" t="s">
        <v>348</v>
      </c>
    </row>
    <row r="29" spans="1:3">
      <c r="A29" s="15">
        <v>130</v>
      </c>
      <c r="B29" s="15" t="s">
        <v>27</v>
      </c>
      <c r="C29" s="15" t="s">
        <v>255</v>
      </c>
    </row>
    <row r="30" spans="1:3">
      <c r="A30" s="15">
        <v>135</v>
      </c>
      <c r="B30" s="15" t="s">
        <v>28</v>
      </c>
      <c r="C30" s="15" t="s">
        <v>328</v>
      </c>
    </row>
    <row r="31" spans="1:3">
      <c r="A31" s="15">
        <v>140</v>
      </c>
      <c r="B31" s="15" t="s">
        <v>29</v>
      </c>
      <c r="C31" s="15" t="s">
        <v>235</v>
      </c>
    </row>
    <row r="32" spans="1:3">
      <c r="A32" s="15">
        <v>145</v>
      </c>
      <c r="B32" s="15" t="s">
        <v>30</v>
      </c>
      <c r="C32" s="15" t="s">
        <v>233</v>
      </c>
    </row>
    <row r="33" spans="1:3">
      <c r="A33" s="15">
        <v>150</v>
      </c>
      <c r="B33" s="15" t="s">
        <v>31</v>
      </c>
      <c r="C33" s="15" t="s">
        <v>327</v>
      </c>
    </row>
    <row r="34" spans="1:3">
      <c r="A34" s="15">
        <v>155</v>
      </c>
      <c r="B34" s="15" t="s">
        <v>32</v>
      </c>
      <c r="C34" s="15" t="s">
        <v>245</v>
      </c>
    </row>
    <row r="35" spans="1:3">
      <c r="A35" s="15">
        <v>160</v>
      </c>
      <c r="B35" s="15" t="s">
        <v>33</v>
      </c>
      <c r="C35" s="15" t="s">
        <v>219</v>
      </c>
    </row>
    <row r="36" spans="1:3">
      <c r="A36" s="15">
        <v>165</v>
      </c>
      <c r="B36" s="15" t="s">
        <v>34</v>
      </c>
      <c r="C36" s="15" t="s">
        <v>364</v>
      </c>
    </row>
    <row r="37" spans="1:3">
      <c r="A37" s="15">
        <v>200</v>
      </c>
      <c r="B37" s="15" t="s">
        <v>35</v>
      </c>
      <c r="C37" s="15" t="s">
        <v>210</v>
      </c>
    </row>
    <row r="38" spans="1:3">
      <c r="A38" s="15">
        <v>205</v>
      </c>
      <c r="B38" s="15" t="s">
        <v>36</v>
      </c>
      <c r="C38" s="15" t="s">
        <v>281</v>
      </c>
    </row>
    <row r="39" spans="1:3">
      <c r="A39" s="15">
        <v>210</v>
      </c>
      <c r="B39" s="15" t="s">
        <v>37</v>
      </c>
      <c r="C39" s="15" t="s">
        <v>316</v>
      </c>
    </row>
    <row r="40" spans="1:3">
      <c r="A40" s="15">
        <v>211</v>
      </c>
      <c r="B40" s="15" t="s">
        <v>38</v>
      </c>
      <c r="C40" s="15" t="s">
        <v>229</v>
      </c>
    </row>
    <row r="41" spans="1:3">
      <c r="A41" s="15">
        <v>212</v>
      </c>
      <c r="B41" s="15" t="s">
        <v>39</v>
      </c>
      <c r="C41" s="15" t="s">
        <v>298</v>
      </c>
    </row>
    <row r="42" spans="1:3">
      <c r="A42" s="15">
        <v>220</v>
      </c>
      <c r="B42" s="15" t="s">
        <v>40</v>
      </c>
      <c r="C42" s="15" t="s">
        <v>264</v>
      </c>
    </row>
    <row r="43" spans="1:3">
      <c r="A43" s="15">
        <v>221</v>
      </c>
      <c r="B43" s="15" t="s">
        <v>41</v>
      </c>
      <c r="C43" s="15" t="s">
        <v>376</v>
      </c>
    </row>
    <row r="44" spans="1:3">
      <c r="A44" s="15">
        <v>223</v>
      </c>
      <c r="B44" s="15" t="s">
        <v>42</v>
      </c>
      <c r="C44" s="15" t="s">
        <v>377</v>
      </c>
    </row>
    <row r="45" spans="1:3">
      <c r="A45" s="15">
        <v>225</v>
      </c>
      <c r="B45" s="15" t="s">
        <v>43</v>
      </c>
      <c r="C45" s="15" t="s">
        <v>351</v>
      </c>
    </row>
    <row r="46" spans="1:3" s="17" customFormat="1">
      <c r="A46" s="17">
        <v>230</v>
      </c>
      <c r="B46" s="17" t="s">
        <v>44</v>
      </c>
      <c r="C46" s="17" t="s">
        <v>345</v>
      </c>
    </row>
    <row r="47" spans="1:3">
      <c r="A47" s="15">
        <v>232</v>
      </c>
      <c r="B47" s="15" t="s">
        <v>45</v>
      </c>
      <c r="C47" s="15" t="s">
        <v>378</v>
      </c>
    </row>
    <row r="48" spans="1:3">
      <c r="A48" s="15">
        <v>235</v>
      </c>
      <c r="B48" s="15" t="s">
        <v>46</v>
      </c>
      <c r="C48" s="15" t="s">
        <v>331</v>
      </c>
    </row>
    <row r="49" spans="1:5">
      <c r="A49" s="15">
        <v>255</v>
      </c>
      <c r="B49" s="15" t="s">
        <v>47</v>
      </c>
      <c r="C49" s="15" t="s">
        <v>268</v>
      </c>
    </row>
    <row r="50" spans="1:5" s="22" customFormat="1">
      <c r="A50" s="22">
        <v>265</v>
      </c>
      <c r="B50" s="22" t="s">
        <v>403</v>
      </c>
      <c r="C50" s="22" t="s">
        <v>426</v>
      </c>
    </row>
    <row r="51" spans="1:5">
      <c r="A51" s="15">
        <v>290</v>
      </c>
      <c r="B51" s="15" t="s">
        <v>48</v>
      </c>
      <c r="C51" s="15" t="s">
        <v>330</v>
      </c>
    </row>
    <row r="52" spans="1:5">
      <c r="A52" s="15">
        <v>305</v>
      </c>
      <c r="B52" s="15" t="s">
        <v>49</v>
      </c>
      <c r="C52" s="15" t="s">
        <v>222</v>
      </c>
    </row>
    <row r="53" spans="1:5">
      <c r="A53" s="15">
        <v>310</v>
      </c>
      <c r="B53" s="15" t="s">
        <v>50</v>
      </c>
      <c r="C53" s="15" t="s">
        <v>276</v>
      </c>
    </row>
    <row r="54" spans="1:5" s="22" customFormat="1">
      <c r="A54" s="22">
        <v>315</v>
      </c>
      <c r="B54" s="22" t="s">
        <v>198</v>
      </c>
      <c r="C54" s="22" t="s">
        <v>402</v>
      </c>
    </row>
    <row r="55" spans="1:5">
      <c r="A55" s="15">
        <v>316</v>
      </c>
      <c r="B55" s="15" t="s">
        <v>51</v>
      </c>
      <c r="C55" s="15" t="s">
        <v>201</v>
      </c>
    </row>
    <row r="56" spans="1:5">
      <c r="A56" s="15">
        <v>317</v>
      </c>
      <c r="B56" s="15" t="s">
        <v>52</v>
      </c>
      <c r="C56" s="15" t="s">
        <v>379</v>
      </c>
    </row>
    <row r="57" spans="1:5">
      <c r="A57" s="15">
        <v>325</v>
      </c>
      <c r="B57" s="15" t="s">
        <v>53</v>
      </c>
      <c r="C57" s="15" t="s">
        <v>283</v>
      </c>
    </row>
    <row r="58" spans="1:5" s="22" customFormat="1">
      <c r="A58" s="22">
        <v>328</v>
      </c>
      <c r="B58" s="22" t="s">
        <v>427</v>
      </c>
      <c r="C58" s="22" t="s">
        <v>428</v>
      </c>
    </row>
    <row r="59" spans="1:5">
      <c r="A59" s="15">
        <v>331</v>
      </c>
      <c r="B59" s="15" t="s">
        <v>54</v>
      </c>
      <c r="C59" s="15" t="s">
        <v>380</v>
      </c>
    </row>
    <row r="60" spans="1:5">
      <c r="A60" s="15">
        <v>338</v>
      </c>
      <c r="B60" s="15" t="s">
        <v>55</v>
      </c>
      <c r="C60" s="15" t="s">
        <v>304</v>
      </c>
    </row>
    <row r="61" spans="1:5">
      <c r="A61" s="15">
        <v>339</v>
      </c>
      <c r="B61" s="15" t="s">
        <v>56</v>
      </c>
      <c r="C61" s="15" t="s">
        <v>215</v>
      </c>
    </row>
    <row r="62" spans="1:5">
      <c r="A62" s="15">
        <v>341</v>
      </c>
      <c r="B62" s="15" t="s">
        <v>193</v>
      </c>
      <c r="C62" s="15" t="s">
        <v>311</v>
      </c>
    </row>
    <row r="63" spans="1:5">
      <c r="A63" s="15">
        <v>343</v>
      </c>
      <c r="B63" s="15" t="s">
        <v>57</v>
      </c>
      <c r="C63" s="15" t="s">
        <v>205</v>
      </c>
    </row>
    <row r="64" spans="1:5">
      <c r="A64" s="15">
        <v>344</v>
      </c>
      <c r="B64" s="15" t="s">
        <v>58</v>
      </c>
      <c r="C64" s="15" t="s">
        <v>249</v>
      </c>
      <c r="E64" s="22"/>
    </row>
    <row r="65" spans="1:3">
      <c r="A65" s="15">
        <v>345</v>
      </c>
      <c r="B65" s="15" t="s">
        <v>59</v>
      </c>
      <c r="C65" s="15" t="s">
        <v>213</v>
      </c>
    </row>
    <row r="66" spans="1:3">
      <c r="A66" s="15">
        <v>346</v>
      </c>
      <c r="B66" s="15" t="s">
        <v>60</v>
      </c>
      <c r="C66" s="15" t="s">
        <v>381</v>
      </c>
    </row>
    <row r="67" spans="1:3" s="22" customFormat="1">
      <c r="A67" s="22">
        <v>347</v>
      </c>
      <c r="B67" s="22" t="s">
        <v>196</v>
      </c>
      <c r="C67" s="22" t="s">
        <v>429</v>
      </c>
    </row>
    <row r="68" spans="1:3">
      <c r="A68" s="17">
        <v>349</v>
      </c>
      <c r="B68" s="17" t="s">
        <v>61</v>
      </c>
      <c r="C68" s="17" t="s">
        <v>341</v>
      </c>
    </row>
    <row r="69" spans="1:3">
      <c r="A69" s="15">
        <v>350</v>
      </c>
      <c r="B69" s="15" t="s">
        <v>62</v>
      </c>
      <c r="C69" s="15" t="s">
        <v>270</v>
      </c>
    </row>
    <row r="70" spans="1:3">
      <c r="A70" s="15">
        <v>352</v>
      </c>
      <c r="B70" s="15" t="s">
        <v>63</v>
      </c>
      <c r="C70" s="15" t="s">
        <v>251</v>
      </c>
    </row>
    <row r="71" spans="1:3">
      <c r="A71" s="15">
        <v>355</v>
      </c>
      <c r="B71" s="15" t="s">
        <v>64</v>
      </c>
      <c r="C71" s="15" t="s">
        <v>237</v>
      </c>
    </row>
    <row r="72" spans="1:3">
      <c r="A72" s="15">
        <v>359</v>
      </c>
      <c r="B72" s="15" t="s">
        <v>65</v>
      </c>
      <c r="C72" s="15" t="s">
        <v>309</v>
      </c>
    </row>
    <row r="73" spans="1:3">
      <c r="A73" s="15">
        <v>360</v>
      </c>
      <c r="B73" s="15" t="s">
        <v>66</v>
      </c>
      <c r="C73" s="15" t="s">
        <v>333</v>
      </c>
    </row>
    <row r="74" spans="1:3">
      <c r="A74" s="15">
        <v>365</v>
      </c>
      <c r="B74" s="15" t="s">
        <v>67</v>
      </c>
      <c r="C74" s="15" t="s">
        <v>334</v>
      </c>
    </row>
    <row r="75" spans="1:3">
      <c r="A75" s="15">
        <v>366</v>
      </c>
      <c r="B75" s="15" t="s">
        <v>68</v>
      </c>
      <c r="C75" s="15" t="s">
        <v>260</v>
      </c>
    </row>
    <row r="76" spans="1:3">
      <c r="A76" s="15">
        <v>367</v>
      </c>
      <c r="B76" s="15" t="s">
        <v>69</v>
      </c>
      <c r="C76" s="15" t="s">
        <v>292</v>
      </c>
    </row>
    <row r="77" spans="1:3">
      <c r="A77" s="15">
        <v>368</v>
      </c>
      <c r="B77" s="15" t="s">
        <v>70</v>
      </c>
      <c r="C77" s="15" t="s">
        <v>297</v>
      </c>
    </row>
    <row r="78" spans="1:3">
      <c r="A78" s="15">
        <v>369</v>
      </c>
      <c r="B78" s="15" t="s">
        <v>71</v>
      </c>
      <c r="C78" s="15" t="s">
        <v>363</v>
      </c>
    </row>
    <row r="79" spans="1:3">
      <c r="A79" s="15">
        <v>370</v>
      </c>
      <c r="B79" s="15" t="s">
        <v>72</v>
      </c>
      <c r="C79" s="15" t="s">
        <v>228</v>
      </c>
    </row>
    <row r="80" spans="1:3">
      <c r="A80" s="15">
        <v>371</v>
      </c>
      <c r="B80" s="15" t="s">
        <v>73</v>
      </c>
      <c r="C80" s="15" t="s">
        <v>220</v>
      </c>
    </row>
    <row r="81" spans="1:3">
      <c r="A81" s="15">
        <v>372</v>
      </c>
      <c r="B81" s="15" t="s">
        <v>74</v>
      </c>
      <c r="C81" s="15" t="s">
        <v>267</v>
      </c>
    </row>
    <row r="82" spans="1:3">
      <c r="A82" s="15">
        <v>373</v>
      </c>
      <c r="B82" s="15" t="s">
        <v>75</v>
      </c>
      <c r="C82" s="15" t="s">
        <v>223</v>
      </c>
    </row>
    <row r="83" spans="1:3">
      <c r="A83" s="15">
        <v>375</v>
      </c>
      <c r="B83" s="15" t="s">
        <v>76</v>
      </c>
      <c r="C83" s="15" t="s">
        <v>263</v>
      </c>
    </row>
    <row r="84" spans="1:3">
      <c r="A84" s="15">
        <v>380</v>
      </c>
      <c r="B84" s="15" t="s">
        <v>77</v>
      </c>
      <c r="C84" s="15" t="s">
        <v>350</v>
      </c>
    </row>
    <row r="85" spans="1:3">
      <c r="A85" s="15">
        <v>385</v>
      </c>
      <c r="B85" s="15" t="s">
        <v>78</v>
      </c>
      <c r="C85" s="15" t="s">
        <v>321</v>
      </c>
    </row>
    <row r="86" spans="1:3">
      <c r="A86" s="15">
        <v>390</v>
      </c>
      <c r="B86" s="15" t="s">
        <v>79</v>
      </c>
      <c r="C86" s="15" t="s">
        <v>252</v>
      </c>
    </row>
    <row r="87" spans="1:3">
      <c r="A87" s="15">
        <v>395</v>
      </c>
      <c r="B87" s="15" t="s">
        <v>80</v>
      </c>
      <c r="C87" s="15" t="s">
        <v>204</v>
      </c>
    </row>
    <row r="88" spans="1:3">
      <c r="A88" s="15">
        <v>402</v>
      </c>
      <c r="B88" s="15" t="s">
        <v>81</v>
      </c>
      <c r="C88" s="15" t="s">
        <v>243</v>
      </c>
    </row>
    <row r="89" spans="1:3">
      <c r="A89" s="15">
        <v>403</v>
      </c>
      <c r="B89" s="15" t="s">
        <v>82</v>
      </c>
      <c r="C89" s="15" t="s">
        <v>382</v>
      </c>
    </row>
    <row r="90" spans="1:3">
      <c r="A90" s="15">
        <v>404</v>
      </c>
      <c r="B90" s="15" t="s">
        <v>83</v>
      </c>
      <c r="C90" s="15" t="s">
        <v>203</v>
      </c>
    </row>
    <row r="91" spans="1:3">
      <c r="A91" s="15">
        <v>411</v>
      </c>
      <c r="B91" s="15" t="s">
        <v>84</v>
      </c>
      <c r="C91" s="15" t="s">
        <v>258</v>
      </c>
    </row>
    <row r="92" spans="1:3">
      <c r="A92" s="15">
        <v>420</v>
      </c>
      <c r="B92" s="15" t="s">
        <v>85</v>
      </c>
      <c r="C92" s="15" t="s">
        <v>266</v>
      </c>
    </row>
    <row r="93" spans="1:3">
      <c r="A93" s="15">
        <v>432</v>
      </c>
      <c r="B93" s="15" t="s">
        <v>86</v>
      </c>
      <c r="C93" s="15" t="s">
        <v>303</v>
      </c>
    </row>
    <row r="94" spans="1:3">
      <c r="A94" s="15">
        <v>433</v>
      </c>
      <c r="B94" s="15" t="s">
        <v>87</v>
      </c>
      <c r="C94" s="15" t="s">
        <v>337</v>
      </c>
    </row>
    <row r="95" spans="1:3">
      <c r="A95" s="15">
        <v>434</v>
      </c>
      <c r="B95" s="15" t="s">
        <v>88</v>
      </c>
      <c r="C95" s="15" t="s">
        <v>231</v>
      </c>
    </row>
    <row r="96" spans="1:3">
      <c r="A96" s="15">
        <v>435</v>
      </c>
      <c r="B96" s="15" t="s">
        <v>89</v>
      </c>
      <c r="C96" s="15" t="s">
        <v>305</v>
      </c>
    </row>
    <row r="97" spans="1:3">
      <c r="A97" s="15">
        <v>436</v>
      </c>
      <c r="B97" s="15" t="s">
        <v>90</v>
      </c>
      <c r="C97" s="15" t="s">
        <v>319</v>
      </c>
    </row>
    <row r="98" spans="1:3">
      <c r="A98" s="15">
        <v>437</v>
      </c>
      <c r="B98" s="15" t="s">
        <v>91</v>
      </c>
      <c r="C98" s="15" t="s">
        <v>383</v>
      </c>
    </row>
    <row r="99" spans="1:3">
      <c r="A99" s="15">
        <v>438</v>
      </c>
      <c r="B99" s="15" t="s">
        <v>92</v>
      </c>
      <c r="C99" s="15" t="s">
        <v>272</v>
      </c>
    </row>
    <row r="100" spans="1:3">
      <c r="A100" s="15">
        <v>439</v>
      </c>
      <c r="B100" s="15" t="s">
        <v>93</v>
      </c>
      <c r="C100" s="15" t="s">
        <v>238</v>
      </c>
    </row>
    <row r="101" spans="1:3">
      <c r="A101" s="15">
        <v>450</v>
      </c>
      <c r="B101" s="15" t="s">
        <v>94</v>
      </c>
      <c r="C101" s="15" t="s">
        <v>295</v>
      </c>
    </row>
    <row r="102" spans="1:3">
      <c r="A102" s="15">
        <v>451</v>
      </c>
      <c r="B102" s="15" t="s">
        <v>95</v>
      </c>
      <c r="C102" s="15" t="s">
        <v>339</v>
      </c>
    </row>
    <row r="103" spans="1:3">
      <c r="A103" s="15">
        <v>452</v>
      </c>
      <c r="B103" s="15" t="s">
        <v>96</v>
      </c>
      <c r="C103" s="15" t="s">
        <v>269</v>
      </c>
    </row>
    <row r="104" spans="1:3">
      <c r="A104" s="15">
        <v>461</v>
      </c>
      <c r="B104" s="15" t="s">
        <v>97</v>
      </c>
      <c r="C104" s="15" t="s">
        <v>357</v>
      </c>
    </row>
    <row r="105" spans="1:3">
      <c r="A105" s="15">
        <v>471</v>
      </c>
      <c r="B105" s="15" t="s">
        <v>98</v>
      </c>
      <c r="C105" s="15" t="s">
        <v>241</v>
      </c>
    </row>
    <row r="106" spans="1:3">
      <c r="A106" s="15">
        <v>475</v>
      </c>
      <c r="B106" s="15" t="s">
        <v>99</v>
      </c>
      <c r="C106" s="15" t="s">
        <v>320</v>
      </c>
    </row>
    <row r="107" spans="1:3">
      <c r="A107" s="15">
        <v>481</v>
      </c>
      <c r="B107" s="15" t="s">
        <v>100</v>
      </c>
      <c r="C107" s="15" t="s">
        <v>265</v>
      </c>
    </row>
    <row r="108" spans="1:3">
      <c r="A108" s="15">
        <v>482</v>
      </c>
      <c r="B108" s="15" t="s">
        <v>101</v>
      </c>
      <c r="C108" s="15" t="s">
        <v>199</v>
      </c>
    </row>
    <row r="109" spans="1:3">
      <c r="A109" s="15">
        <v>483</v>
      </c>
      <c r="B109" s="15" t="s">
        <v>102</v>
      </c>
      <c r="C109" s="15" t="s">
        <v>244</v>
      </c>
    </row>
    <row r="110" spans="1:3">
      <c r="A110" s="15">
        <v>484</v>
      </c>
      <c r="B110" s="15" t="s">
        <v>103</v>
      </c>
      <c r="C110" s="15" t="s">
        <v>384</v>
      </c>
    </row>
    <row r="111" spans="1:3">
      <c r="A111" s="15">
        <v>490</v>
      </c>
      <c r="B111" s="15" t="s">
        <v>104</v>
      </c>
      <c r="C111" s="15" t="s">
        <v>385</v>
      </c>
    </row>
    <row r="112" spans="1:3">
      <c r="A112" s="15">
        <v>500</v>
      </c>
      <c r="B112" s="15" t="s">
        <v>105</v>
      </c>
      <c r="C112" s="15" t="s">
        <v>362</v>
      </c>
    </row>
    <row r="113" spans="1:3">
      <c r="A113" s="15">
        <v>501</v>
      </c>
      <c r="B113" s="15" t="s">
        <v>106</v>
      </c>
      <c r="C113" s="15" t="s">
        <v>287</v>
      </c>
    </row>
    <row r="114" spans="1:3">
      <c r="A114" s="15">
        <v>510</v>
      </c>
      <c r="B114" s="15" t="s">
        <v>107</v>
      </c>
      <c r="C114" s="15" t="s">
        <v>354</v>
      </c>
    </row>
    <row r="115" spans="1:3">
      <c r="A115" s="15">
        <v>516</v>
      </c>
      <c r="B115" s="15" t="s">
        <v>108</v>
      </c>
      <c r="C115" s="15" t="s">
        <v>239</v>
      </c>
    </row>
    <row r="116" spans="1:3">
      <c r="A116" s="15">
        <v>517</v>
      </c>
      <c r="B116" s="15" t="s">
        <v>109</v>
      </c>
      <c r="C116" s="15" t="s">
        <v>335</v>
      </c>
    </row>
    <row r="117" spans="1:3">
      <c r="A117" s="15">
        <v>520</v>
      </c>
      <c r="B117" s="15" t="s">
        <v>110</v>
      </c>
      <c r="C117" s="15" t="s">
        <v>343</v>
      </c>
    </row>
    <row r="118" spans="1:3">
      <c r="A118" s="15">
        <v>522</v>
      </c>
      <c r="B118" s="15" t="s">
        <v>111</v>
      </c>
      <c r="C118" s="15" t="s">
        <v>253</v>
      </c>
    </row>
    <row r="119" spans="1:3" s="17" customFormat="1">
      <c r="A119" s="17">
        <v>530</v>
      </c>
      <c r="B119" s="17" t="s">
        <v>112</v>
      </c>
      <c r="C119" s="17" t="s">
        <v>261</v>
      </c>
    </row>
    <row r="120" spans="1:3">
      <c r="A120" s="15">
        <v>531</v>
      </c>
      <c r="B120" s="15" t="s">
        <v>113</v>
      </c>
      <c r="C120" s="15" t="s">
        <v>259</v>
      </c>
    </row>
    <row r="121" spans="1:3">
      <c r="A121" s="15">
        <v>540</v>
      </c>
      <c r="B121" s="15" t="s">
        <v>114</v>
      </c>
      <c r="C121" s="15" t="s">
        <v>217</v>
      </c>
    </row>
    <row r="122" spans="1:3">
      <c r="A122" s="15">
        <v>541</v>
      </c>
      <c r="B122" s="15" t="s">
        <v>115</v>
      </c>
      <c r="C122" s="15" t="s">
        <v>313</v>
      </c>
    </row>
    <row r="123" spans="1:3">
      <c r="A123" s="15">
        <v>551</v>
      </c>
      <c r="B123" s="15" t="s">
        <v>116</v>
      </c>
      <c r="C123" s="15" t="s">
        <v>369</v>
      </c>
    </row>
    <row r="124" spans="1:3">
      <c r="A124" s="15">
        <v>552</v>
      </c>
      <c r="B124" s="15" t="s">
        <v>117</v>
      </c>
      <c r="C124" s="15" t="s">
        <v>370</v>
      </c>
    </row>
    <row r="125" spans="1:3">
      <c r="A125" s="15">
        <v>553</v>
      </c>
      <c r="B125" s="15" t="s">
        <v>118</v>
      </c>
      <c r="C125" s="15" t="s">
        <v>300</v>
      </c>
    </row>
    <row r="126" spans="1:3">
      <c r="A126" s="15">
        <v>560</v>
      </c>
      <c r="B126" s="15" t="s">
        <v>119</v>
      </c>
      <c r="C126" s="15" t="s">
        <v>344</v>
      </c>
    </row>
    <row r="127" spans="1:3">
      <c r="A127" s="15">
        <v>565</v>
      </c>
      <c r="B127" s="15" t="s">
        <v>120</v>
      </c>
      <c r="C127" s="15" t="s">
        <v>314</v>
      </c>
    </row>
    <row r="128" spans="1:3">
      <c r="A128" s="15">
        <v>570</v>
      </c>
      <c r="B128" s="15" t="s">
        <v>121</v>
      </c>
      <c r="C128" s="15" t="s">
        <v>294</v>
      </c>
    </row>
    <row r="129" spans="1:3">
      <c r="A129" s="15">
        <v>571</v>
      </c>
      <c r="B129" s="15" t="s">
        <v>122</v>
      </c>
      <c r="C129" s="15" t="s">
        <v>234</v>
      </c>
    </row>
    <row r="130" spans="1:3">
      <c r="A130" s="15">
        <v>572</v>
      </c>
      <c r="B130" s="15" t="s">
        <v>123</v>
      </c>
      <c r="C130" s="15" t="s">
        <v>349</v>
      </c>
    </row>
    <row r="131" spans="1:3">
      <c r="A131" s="15">
        <v>580</v>
      </c>
      <c r="B131" s="15" t="s">
        <v>124</v>
      </c>
      <c r="C131" s="15" t="s">
        <v>299</v>
      </c>
    </row>
    <row r="132" spans="1:3">
      <c r="A132" s="15">
        <v>581</v>
      </c>
      <c r="B132" s="15" t="s">
        <v>125</v>
      </c>
      <c r="C132" s="15" t="s">
        <v>247</v>
      </c>
    </row>
    <row r="133" spans="1:3">
      <c r="A133" s="15">
        <v>590</v>
      </c>
      <c r="B133" s="15" t="s">
        <v>126</v>
      </c>
      <c r="C133" s="15" t="s">
        <v>306</v>
      </c>
    </row>
    <row r="134" spans="1:3">
      <c r="A134" s="15">
        <v>591</v>
      </c>
      <c r="B134" s="15" t="s">
        <v>127</v>
      </c>
      <c r="C134" s="15" t="s">
        <v>338</v>
      </c>
    </row>
    <row r="135" spans="1:3">
      <c r="A135" s="15">
        <v>600</v>
      </c>
      <c r="B135" s="15" t="s">
        <v>128</v>
      </c>
      <c r="C135" s="15" t="s">
        <v>312</v>
      </c>
    </row>
    <row r="136" spans="1:3">
      <c r="A136" s="15">
        <v>615</v>
      </c>
      <c r="B136" s="15" t="s">
        <v>129</v>
      </c>
      <c r="C136" s="15" t="s">
        <v>216</v>
      </c>
    </row>
    <row r="137" spans="1:3">
      <c r="A137" s="15">
        <v>616</v>
      </c>
      <c r="B137" s="15" t="s">
        <v>130</v>
      </c>
      <c r="C137" s="15" t="s">
        <v>359</v>
      </c>
    </row>
    <row r="138" spans="1:3">
      <c r="A138" s="15">
        <v>620</v>
      </c>
      <c r="B138" s="15" t="s">
        <v>131</v>
      </c>
      <c r="C138" s="15" t="s">
        <v>296</v>
      </c>
    </row>
    <row r="139" spans="1:3">
      <c r="A139" s="15">
        <v>625</v>
      </c>
      <c r="B139" s="15" t="s">
        <v>132</v>
      </c>
      <c r="C139" s="15" t="s">
        <v>347</v>
      </c>
    </row>
    <row r="140" spans="1:3">
      <c r="A140" s="15">
        <v>630</v>
      </c>
      <c r="B140" s="15" t="s">
        <v>133</v>
      </c>
      <c r="C140" s="15" t="s">
        <v>279</v>
      </c>
    </row>
    <row r="141" spans="1:3">
      <c r="A141" s="15">
        <v>640</v>
      </c>
      <c r="B141" s="15" t="s">
        <v>134</v>
      </c>
      <c r="C141" s="15" t="s">
        <v>360</v>
      </c>
    </row>
    <row r="142" spans="1:3">
      <c r="A142" s="15">
        <v>645</v>
      </c>
      <c r="B142" s="15" t="s">
        <v>135</v>
      </c>
      <c r="C142" s="15" t="s">
        <v>280</v>
      </c>
    </row>
    <row r="143" spans="1:3">
      <c r="A143" s="15">
        <v>651</v>
      </c>
      <c r="B143" s="15" t="s">
        <v>136</v>
      </c>
      <c r="C143" s="15" t="s">
        <v>256</v>
      </c>
    </row>
    <row r="144" spans="1:3">
      <c r="A144" s="15">
        <v>652</v>
      </c>
      <c r="B144" s="15" t="s">
        <v>137</v>
      </c>
      <c r="C144" s="15" t="s">
        <v>352</v>
      </c>
    </row>
    <row r="145" spans="1:3">
      <c r="A145" s="15">
        <v>660</v>
      </c>
      <c r="B145" s="15" t="s">
        <v>138</v>
      </c>
      <c r="C145" s="15" t="s">
        <v>293</v>
      </c>
    </row>
    <row r="146" spans="1:3">
      <c r="A146" s="15">
        <v>663</v>
      </c>
      <c r="B146" s="15" t="s">
        <v>139</v>
      </c>
      <c r="C146" s="15" t="s">
        <v>286</v>
      </c>
    </row>
    <row r="147" spans="1:3">
      <c r="A147" s="15">
        <v>666</v>
      </c>
      <c r="B147" s="15" t="s">
        <v>140</v>
      </c>
      <c r="C147" s="15" t="s">
        <v>282</v>
      </c>
    </row>
    <row r="148" spans="1:3">
      <c r="A148" s="15">
        <v>670</v>
      </c>
      <c r="B148" s="15" t="s">
        <v>141</v>
      </c>
      <c r="C148" s="15" t="s">
        <v>336</v>
      </c>
    </row>
    <row r="149" spans="1:3">
      <c r="A149" s="15">
        <v>679</v>
      </c>
      <c r="B149" s="15" t="s">
        <v>142</v>
      </c>
      <c r="C149" s="15" t="s">
        <v>368</v>
      </c>
    </row>
    <row r="150" spans="1:3" s="22" customFormat="1">
      <c r="A150" s="22">
        <v>680</v>
      </c>
      <c r="B150" s="22" t="s">
        <v>405</v>
      </c>
      <c r="C150" s="22" t="s">
        <v>430</v>
      </c>
    </row>
    <row r="151" spans="1:3">
      <c r="A151" s="15">
        <v>690</v>
      </c>
      <c r="B151" s="15" t="s">
        <v>143</v>
      </c>
      <c r="C151" s="15" t="s">
        <v>289</v>
      </c>
    </row>
    <row r="152" spans="1:3">
      <c r="A152" s="15">
        <v>692</v>
      </c>
      <c r="B152" s="15" t="s">
        <v>144</v>
      </c>
      <c r="C152" s="15" t="s">
        <v>225</v>
      </c>
    </row>
    <row r="153" spans="1:3">
      <c r="A153" s="15">
        <v>694</v>
      </c>
      <c r="B153" s="15" t="s">
        <v>145</v>
      </c>
      <c r="C153" s="15" t="s">
        <v>332</v>
      </c>
    </row>
    <row r="154" spans="1:3">
      <c r="A154" s="15">
        <v>696</v>
      </c>
      <c r="B154" s="15" t="s">
        <v>146</v>
      </c>
      <c r="C154" s="15" t="s">
        <v>209</v>
      </c>
    </row>
    <row r="155" spans="1:3">
      <c r="A155" s="15">
        <v>698</v>
      </c>
      <c r="B155" s="15" t="s">
        <v>147</v>
      </c>
      <c r="C155" s="15" t="s">
        <v>322</v>
      </c>
    </row>
    <row r="156" spans="1:3">
      <c r="A156" s="15">
        <v>700</v>
      </c>
      <c r="B156" s="15" t="s">
        <v>148</v>
      </c>
      <c r="C156" s="15" t="s">
        <v>214</v>
      </c>
    </row>
    <row r="157" spans="1:3">
      <c r="A157" s="15">
        <v>701</v>
      </c>
      <c r="B157" s="15" t="s">
        <v>149</v>
      </c>
      <c r="C157" s="15" t="s">
        <v>361</v>
      </c>
    </row>
    <row r="158" spans="1:3">
      <c r="A158" s="15">
        <v>702</v>
      </c>
      <c r="B158" s="15" t="s">
        <v>150</v>
      </c>
      <c r="C158" s="15" t="s">
        <v>353</v>
      </c>
    </row>
    <row r="159" spans="1:3">
      <c r="A159" s="15">
        <v>703</v>
      </c>
      <c r="B159" s="15" t="s">
        <v>151</v>
      </c>
      <c r="C159" s="15" t="s">
        <v>290</v>
      </c>
    </row>
    <row r="160" spans="1:3">
      <c r="A160" s="15">
        <v>704</v>
      </c>
      <c r="B160" s="15" t="s">
        <v>152</v>
      </c>
      <c r="C160" s="15" t="s">
        <v>365</v>
      </c>
    </row>
    <row r="161" spans="1:3">
      <c r="A161" s="15">
        <v>705</v>
      </c>
      <c r="B161" s="15" t="s">
        <v>153</v>
      </c>
      <c r="C161" s="15" t="s">
        <v>386</v>
      </c>
    </row>
    <row r="162" spans="1:3">
      <c r="A162" s="15">
        <v>710</v>
      </c>
      <c r="B162" s="15" t="s">
        <v>154</v>
      </c>
      <c r="C162" s="15" t="s">
        <v>200</v>
      </c>
    </row>
    <row r="163" spans="1:3">
      <c r="A163" s="15">
        <v>712</v>
      </c>
      <c r="B163" s="15" t="s">
        <v>155</v>
      </c>
      <c r="C163" s="15" t="s">
        <v>310</v>
      </c>
    </row>
    <row r="164" spans="1:3">
      <c r="A164" s="15">
        <v>713</v>
      </c>
      <c r="B164" s="15" t="s">
        <v>156</v>
      </c>
      <c r="C164" s="15" t="s">
        <v>387</v>
      </c>
    </row>
    <row r="165" spans="1:3" s="22" customFormat="1">
      <c r="A165" s="22">
        <v>720</v>
      </c>
      <c r="B165" s="22" t="s">
        <v>431</v>
      </c>
      <c r="C165" s="22" t="s">
        <v>432</v>
      </c>
    </row>
    <row r="166" spans="1:3">
      <c r="A166" s="15">
        <v>731</v>
      </c>
      <c r="B166" s="15" t="s">
        <v>157</v>
      </c>
      <c r="C166" s="15" t="s">
        <v>206</v>
      </c>
    </row>
    <row r="167" spans="1:3">
      <c r="A167" s="15">
        <v>732</v>
      </c>
      <c r="B167" s="15" t="s">
        <v>158</v>
      </c>
      <c r="C167" s="15" t="s">
        <v>207</v>
      </c>
    </row>
    <row r="168" spans="1:3">
      <c r="A168" s="15">
        <v>740</v>
      </c>
      <c r="B168" s="15" t="s">
        <v>159</v>
      </c>
      <c r="C168" s="15" t="s">
        <v>285</v>
      </c>
    </row>
    <row r="169" spans="1:3">
      <c r="A169" s="15">
        <v>750</v>
      </c>
      <c r="B169" s="15" t="s">
        <v>160</v>
      </c>
      <c r="C169" s="15" t="s">
        <v>277</v>
      </c>
    </row>
    <row r="170" spans="1:3">
      <c r="A170" s="15">
        <v>760</v>
      </c>
      <c r="B170" s="15" t="s">
        <v>161</v>
      </c>
      <c r="C170" s="15" t="s">
        <v>232</v>
      </c>
    </row>
    <row r="171" spans="1:3">
      <c r="A171" s="15">
        <v>770</v>
      </c>
      <c r="B171" s="15" t="s">
        <v>162</v>
      </c>
      <c r="C171" s="15" t="s">
        <v>323</v>
      </c>
    </row>
    <row r="172" spans="1:3">
      <c r="A172" s="15">
        <v>771</v>
      </c>
      <c r="B172" s="15" t="s">
        <v>163</v>
      </c>
      <c r="C172" s="15" t="s">
        <v>226</v>
      </c>
    </row>
    <row r="173" spans="1:3">
      <c r="A173" s="15">
        <v>775</v>
      </c>
      <c r="B173" s="15" t="s">
        <v>164</v>
      </c>
      <c r="C173" s="15" t="s">
        <v>388</v>
      </c>
    </row>
    <row r="174" spans="1:3">
      <c r="A174" s="15">
        <v>780</v>
      </c>
      <c r="B174" s="15" t="s">
        <v>165</v>
      </c>
      <c r="C174" s="15" t="s">
        <v>346</v>
      </c>
    </row>
    <row r="175" spans="1:3">
      <c r="A175" s="15">
        <v>781</v>
      </c>
      <c r="B175" s="15" t="s">
        <v>166</v>
      </c>
      <c r="C175" s="15" t="s">
        <v>302</v>
      </c>
    </row>
    <row r="176" spans="1:3">
      <c r="A176" s="15">
        <v>790</v>
      </c>
      <c r="B176" s="15" t="s">
        <v>167</v>
      </c>
      <c r="C176" s="15" t="s">
        <v>315</v>
      </c>
    </row>
    <row r="177" spans="1:3">
      <c r="A177" s="15">
        <v>800</v>
      </c>
      <c r="B177" s="15" t="s">
        <v>168</v>
      </c>
      <c r="C177" s="15" t="s">
        <v>355</v>
      </c>
    </row>
    <row r="178" spans="1:3">
      <c r="A178" s="15">
        <v>811</v>
      </c>
      <c r="B178" s="15" t="s">
        <v>169</v>
      </c>
      <c r="C178" s="15" t="s">
        <v>240</v>
      </c>
    </row>
    <row r="179" spans="1:3">
      <c r="A179" s="15">
        <v>812</v>
      </c>
      <c r="B179" s="15" t="s">
        <v>170</v>
      </c>
      <c r="C179" s="15" t="s">
        <v>291</v>
      </c>
    </row>
    <row r="180" spans="1:3">
      <c r="A180" s="15">
        <v>816</v>
      </c>
      <c r="B180" s="15" t="s">
        <v>171</v>
      </c>
      <c r="C180" s="15" t="s">
        <v>212</v>
      </c>
    </row>
    <row r="181" spans="1:3">
      <c r="A181" s="15">
        <v>820</v>
      </c>
      <c r="B181" s="15" t="s">
        <v>172</v>
      </c>
      <c r="C181" s="15" t="s">
        <v>301</v>
      </c>
    </row>
    <row r="182" spans="1:3">
      <c r="A182" s="15">
        <v>830</v>
      </c>
      <c r="B182" s="15" t="s">
        <v>173</v>
      </c>
      <c r="C182" s="15" t="s">
        <v>340</v>
      </c>
    </row>
    <row r="183" spans="1:3">
      <c r="A183" s="15">
        <v>835</v>
      </c>
      <c r="B183" s="15" t="s">
        <v>174</v>
      </c>
      <c r="C183" s="15" t="s">
        <v>236</v>
      </c>
    </row>
    <row r="184" spans="1:3">
      <c r="A184" s="15">
        <v>840</v>
      </c>
      <c r="B184" s="15" t="s">
        <v>175</v>
      </c>
      <c r="C184" s="15" t="s">
        <v>329</v>
      </c>
    </row>
    <row r="185" spans="1:3">
      <c r="A185" s="15">
        <v>850</v>
      </c>
      <c r="B185" s="15" t="s">
        <v>176</v>
      </c>
      <c r="C185" s="15" t="s">
        <v>278</v>
      </c>
    </row>
    <row r="186" spans="1:3">
      <c r="A186" s="15">
        <v>860</v>
      </c>
      <c r="B186" s="15" t="s">
        <v>197</v>
      </c>
      <c r="C186" s="15" t="s">
        <v>356</v>
      </c>
    </row>
    <row r="187" spans="1:3">
      <c r="A187" s="15">
        <v>900</v>
      </c>
      <c r="B187" s="15" t="s">
        <v>177</v>
      </c>
      <c r="C187" s="15" t="s">
        <v>221</v>
      </c>
    </row>
    <row r="188" spans="1:3">
      <c r="A188" s="15">
        <v>910</v>
      </c>
      <c r="B188" s="15" t="s">
        <v>178</v>
      </c>
      <c r="C188" s="15" t="s">
        <v>326</v>
      </c>
    </row>
    <row r="189" spans="1:3">
      <c r="A189" s="15">
        <v>920</v>
      </c>
      <c r="B189" s="15" t="s">
        <v>179</v>
      </c>
      <c r="C189" s="15" t="s">
        <v>317</v>
      </c>
    </row>
    <row r="190" spans="1:3">
      <c r="A190" s="15">
        <v>935</v>
      </c>
      <c r="B190" s="15" t="s">
        <v>180</v>
      </c>
      <c r="C190" s="15" t="s">
        <v>366</v>
      </c>
    </row>
    <row r="191" spans="1:3">
      <c r="A191" s="15">
        <v>940</v>
      </c>
      <c r="B191" s="15" t="s">
        <v>181</v>
      </c>
      <c r="C191" s="15" t="s">
        <v>342</v>
      </c>
    </row>
    <row r="192" spans="1:3">
      <c r="A192" s="15">
        <v>946</v>
      </c>
      <c r="B192" s="15" t="s">
        <v>182</v>
      </c>
      <c r="C192" s="15" t="s">
        <v>288</v>
      </c>
    </row>
    <row r="193" spans="1:3">
      <c r="A193" s="15">
        <v>947</v>
      </c>
      <c r="B193" s="15" t="s">
        <v>183</v>
      </c>
      <c r="C193" s="15" t="s">
        <v>389</v>
      </c>
    </row>
    <row r="194" spans="1:3">
      <c r="A194" s="15">
        <v>950</v>
      </c>
      <c r="B194" s="15" t="s">
        <v>184</v>
      </c>
      <c r="C194" s="15" t="s">
        <v>262</v>
      </c>
    </row>
    <row r="195" spans="1:3" s="17" customFormat="1">
      <c r="A195" s="17">
        <v>955</v>
      </c>
      <c r="B195" s="17" t="s">
        <v>185</v>
      </c>
      <c r="C195" s="17" t="s">
        <v>358</v>
      </c>
    </row>
    <row r="196" spans="1:3" s="17" customFormat="1">
      <c r="A196" s="17">
        <v>970</v>
      </c>
      <c r="B196" s="17" t="s">
        <v>186</v>
      </c>
      <c r="C196" s="17" t="s">
        <v>390</v>
      </c>
    </row>
    <row r="197" spans="1:3">
      <c r="A197" s="15">
        <v>983</v>
      </c>
      <c r="B197" s="15" t="s">
        <v>187</v>
      </c>
      <c r="C197" s="15" t="s">
        <v>391</v>
      </c>
    </row>
    <row r="198" spans="1:3">
      <c r="A198" s="15">
        <v>986</v>
      </c>
      <c r="B198" s="15" t="s">
        <v>188</v>
      </c>
      <c r="C198" s="15" t="s">
        <v>324</v>
      </c>
    </row>
    <row r="199" spans="1:3">
      <c r="A199" s="15">
        <v>987</v>
      </c>
      <c r="B199" s="15" t="s">
        <v>189</v>
      </c>
      <c r="C199" s="15" t="s">
        <v>308</v>
      </c>
    </row>
    <row r="200" spans="1:3">
      <c r="A200" s="20">
        <v>990</v>
      </c>
      <c r="B200" s="20" t="s">
        <v>190</v>
      </c>
      <c r="C200" s="20" t="s">
        <v>392</v>
      </c>
    </row>
  </sheetData>
  <sortState ref="A2:C198">
    <sortCondition ref="A2:A19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7"/>
  <sheetViews>
    <sheetView topLeftCell="G1" workbookViewId="0">
      <selection activeCell="F179" sqref="F179:F180"/>
    </sheetView>
  </sheetViews>
  <sheetFormatPr defaultRowHeight="15"/>
  <cols>
    <col min="1" max="16384" width="9.140625" style="14"/>
  </cols>
  <sheetData>
    <row r="1" spans="1:25">
      <c r="A1" s="12" t="s">
        <v>436</v>
      </c>
    </row>
    <row r="2" spans="1:25">
      <c r="A2" s="1" t="s">
        <v>409</v>
      </c>
    </row>
    <row r="3" spans="1:25">
      <c r="A3" s="14" t="s">
        <v>424</v>
      </c>
    </row>
    <row r="5" spans="1:25">
      <c r="A5" s="28" t="s">
        <v>191</v>
      </c>
      <c r="B5" s="28" t="s">
        <v>192</v>
      </c>
      <c r="C5" s="28">
        <v>1988</v>
      </c>
      <c r="D5" s="28">
        <v>1989</v>
      </c>
      <c r="E5" s="28">
        <v>1990</v>
      </c>
      <c r="F5" s="28">
        <v>1991</v>
      </c>
      <c r="G5" s="28">
        <v>1992</v>
      </c>
      <c r="H5" s="28">
        <v>1993</v>
      </c>
      <c r="I5" s="28">
        <v>1994</v>
      </c>
      <c r="J5" s="28">
        <v>1995</v>
      </c>
      <c r="K5" s="28">
        <v>1996</v>
      </c>
      <c r="L5" s="28">
        <v>1997</v>
      </c>
      <c r="M5" s="28">
        <v>1998</v>
      </c>
      <c r="N5" s="28">
        <v>1999</v>
      </c>
      <c r="O5" s="28">
        <v>2000</v>
      </c>
      <c r="P5" s="28">
        <v>2001</v>
      </c>
      <c r="Q5" s="28">
        <v>2002</v>
      </c>
      <c r="R5" s="28">
        <v>2003</v>
      </c>
      <c r="S5" s="28">
        <v>2004</v>
      </c>
      <c r="T5" s="28">
        <v>2005</v>
      </c>
      <c r="U5" s="28">
        <v>2006</v>
      </c>
      <c r="V5" s="28">
        <v>2007</v>
      </c>
      <c r="W5" s="28">
        <v>2008</v>
      </c>
      <c r="X5" s="28">
        <v>2009</v>
      </c>
      <c r="Y5" s="28">
        <v>2010</v>
      </c>
    </row>
    <row r="6" spans="1:25">
      <c r="A6" s="28">
        <v>700</v>
      </c>
      <c r="B6" s="28" t="s">
        <v>148</v>
      </c>
      <c r="C6" s="28"/>
      <c r="D6" s="28"/>
      <c r="E6" s="28"/>
      <c r="F6" s="36" t="s">
        <v>194</v>
      </c>
      <c r="G6" s="36" t="s">
        <v>194</v>
      </c>
      <c r="H6" s="36" t="s">
        <v>194</v>
      </c>
      <c r="I6" s="36" t="s">
        <v>194</v>
      </c>
      <c r="J6" s="36" t="s">
        <v>194</v>
      </c>
      <c r="K6" s="36" t="s">
        <v>194</v>
      </c>
      <c r="L6" s="36" t="s">
        <v>194</v>
      </c>
      <c r="M6" s="36" t="s">
        <v>194</v>
      </c>
      <c r="N6" s="36" t="s">
        <v>194</v>
      </c>
      <c r="O6" s="36" t="s">
        <v>194</v>
      </c>
      <c r="P6" s="36" t="s">
        <v>194</v>
      </c>
      <c r="Q6" s="36" t="s">
        <v>194</v>
      </c>
      <c r="R6" s="36">
        <v>153</v>
      </c>
      <c r="S6" s="36">
        <v>156</v>
      </c>
      <c r="T6" s="36">
        <v>142</v>
      </c>
      <c r="U6" s="36">
        <v>154</v>
      </c>
      <c r="V6" s="36">
        <v>226</v>
      </c>
      <c r="W6" s="36">
        <v>198</v>
      </c>
      <c r="X6" s="36">
        <v>250</v>
      </c>
      <c r="Y6" s="36" t="s">
        <v>194</v>
      </c>
    </row>
    <row r="7" spans="1:25">
      <c r="A7" s="28">
        <v>339</v>
      </c>
      <c r="B7" s="28" t="s">
        <v>56</v>
      </c>
      <c r="C7" s="28"/>
      <c r="D7" s="28"/>
      <c r="E7" s="994">
        <v>265</v>
      </c>
      <c r="F7" s="36" t="s">
        <v>194</v>
      </c>
      <c r="G7" s="36">
        <v>151</v>
      </c>
      <c r="H7" s="36">
        <v>132</v>
      </c>
      <c r="I7" s="36">
        <v>126</v>
      </c>
      <c r="J7" s="36">
        <v>118</v>
      </c>
      <c r="K7" s="36">
        <v>106</v>
      </c>
      <c r="L7" s="36">
        <v>73.8</v>
      </c>
      <c r="M7" s="36">
        <v>69.7</v>
      </c>
      <c r="N7" s="36">
        <v>80.8</v>
      </c>
      <c r="O7" s="36">
        <v>89.3</v>
      </c>
      <c r="P7" s="36">
        <v>102</v>
      </c>
      <c r="Q7" s="36">
        <v>101</v>
      </c>
      <c r="R7" s="36">
        <v>114</v>
      </c>
      <c r="S7" s="36">
        <v>124</v>
      </c>
      <c r="T7" s="36">
        <v>129</v>
      </c>
      <c r="U7" s="36">
        <v>158</v>
      </c>
      <c r="V7" s="36">
        <v>196</v>
      </c>
      <c r="W7" s="36">
        <v>231</v>
      </c>
      <c r="X7" s="36">
        <v>249</v>
      </c>
      <c r="Y7" s="36">
        <v>201</v>
      </c>
    </row>
    <row r="8" spans="1:25">
      <c r="A8" s="28">
        <v>615</v>
      </c>
      <c r="B8" s="28" t="s">
        <v>129</v>
      </c>
      <c r="C8" s="912">
        <v>662</v>
      </c>
      <c r="D8" s="912">
        <v>647</v>
      </c>
      <c r="E8" s="912">
        <v>691</v>
      </c>
      <c r="F8" s="36">
        <v>708</v>
      </c>
      <c r="G8" s="36">
        <v>1184</v>
      </c>
      <c r="H8" s="36">
        <v>1274</v>
      </c>
      <c r="I8" s="36">
        <v>1549</v>
      </c>
      <c r="J8" s="36">
        <v>1501</v>
      </c>
      <c r="K8" s="36">
        <v>1709</v>
      </c>
      <c r="L8" s="36">
        <v>2056</v>
      </c>
      <c r="M8" s="36">
        <v>2174</v>
      </c>
      <c r="N8" s="36">
        <v>2295</v>
      </c>
      <c r="O8" s="36">
        <v>2663</v>
      </c>
      <c r="P8" s="36">
        <v>2914</v>
      </c>
      <c r="Q8" s="36">
        <v>2978</v>
      </c>
      <c r="R8" s="36">
        <v>2914</v>
      </c>
      <c r="S8" s="36">
        <v>3314</v>
      </c>
      <c r="T8" s="36">
        <v>3470</v>
      </c>
      <c r="U8" s="36">
        <v>3557</v>
      </c>
      <c r="V8" s="36">
        <v>4173</v>
      </c>
      <c r="W8" s="36">
        <v>4862</v>
      </c>
      <c r="X8" s="36">
        <v>5281</v>
      </c>
      <c r="Y8" s="36">
        <v>5586</v>
      </c>
    </row>
    <row r="9" spans="1:25">
      <c r="A9" s="28">
        <v>540</v>
      </c>
      <c r="B9" s="28" t="s">
        <v>114</v>
      </c>
      <c r="C9" s="28"/>
      <c r="D9" s="28"/>
      <c r="E9" s="28"/>
      <c r="F9" s="36">
        <v>147</v>
      </c>
      <c r="G9" s="36">
        <v>128</v>
      </c>
      <c r="H9" s="36">
        <v>2055</v>
      </c>
      <c r="I9" s="36" t="s">
        <v>194</v>
      </c>
      <c r="J9" s="36">
        <v>963</v>
      </c>
      <c r="K9" s="36">
        <v>721</v>
      </c>
      <c r="L9" s="36">
        <v>1156</v>
      </c>
      <c r="M9" s="36">
        <v>357</v>
      </c>
      <c r="N9" s="36">
        <v>4558</v>
      </c>
      <c r="O9" s="36">
        <v>2111</v>
      </c>
      <c r="P9" s="36">
        <v>1272</v>
      </c>
      <c r="Q9" s="36">
        <v>1304</v>
      </c>
      <c r="R9" s="36">
        <v>1722</v>
      </c>
      <c r="S9" s="36">
        <v>1639</v>
      </c>
      <c r="T9" s="36">
        <v>2322</v>
      </c>
      <c r="U9" s="36">
        <v>2728</v>
      </c>
      <c r="V9" s="36">
        <v>2393</v>
      </c>
      <c r="W9" s="36">
        <v>2479</v>
      </c>
      <c r="X9" s="36">
        <v>3165</v>
      </c>
      <c r="Y9" s="36">
        <v>3774</v>
      </c>
    </row>
    <row r="10" spans="1:25">
      <c r="A10" s="28">
        <v>160</v>
      </c>
      <c r="B10" s="28" t="s">
        <v>33</v>
      </c>
      <c r="C10" s="962">
        <v>2923</v>
      </c>
      <c r="D10" s="962">
        <v>2702</v>
      </c>
      <c r="E10" s="962">
        <v>1831</v>
      </c>
      <c r="F10" s="36">
        <v>2142</v>
      </c>
      <c r="G10" s="36">
        <v>2021</v>
      </c>
      <c r="H10" s="36">
        <v>2131</v>
      </c>
      <c r="I10" s="36">
        <v>2342</v>
      </c>
      <c r="J10" s="36">
        <v>2296</v>
      </c>
      <c r="K10" s="36">
        <v>2037</v>
      </c>
      <c r="L10" s="36">
        <v>2003</v>
      </c>
      <c r="M10" s="36">
        <v>2019</v>
      </c>
      <c r="N10" s="36">
        <v>2081</v>
      </c>
      <c r="O10" s="36">
        <v>1982</v>
      </c>
      <c r="P10" s="36">
        <v>1953</v>
      </c>
      <c r="Q10" s="36">
        <v>1664</v>
      </c>
      <c r="R10" s="36">
        <v>1714</v>
      </c>
      <c r="S10" s="36">
        <v>1764</v>
      </c>
      <c r="T10" s="36">
        <v>1853</v>
      </c>
      <c r="U10" s="36">
        <v>1910</v>
      </c>
      <c r="V10" s="36">
        <v>2211</v>
      </c>
      <c r="W10" s="36">
        <v>2512</v>
      </c>
      <c r="X10" s="36">
        <v>2982</v>
      </c>
      <c r="Y10" s="36">
        <v>3179</v>
      </c>
    </row>
    <row r="11" spans="1:25">
      <c r="A11" s="28">
        <v>371</v>
      </c>
      <c r="B11" s="28" t="s">
        <v>73</v>
      </c>
      <c r="C11" s="28"/>
      <c r="D11" s="28"/>
      <c r="E11" s="28"/>
      <c r="F11" s="36" t="s">
        <v>194</v>
      </c>
      <c r="G11" s="36">
        <v>129</v>
      </c>
      <c r="H11" s="36">
        <v>71.8</v>
      </c>
      <c r="I11" s="36" t="s">
        <v>194</v>
      </c>
      <c r="J11" s="36">
        <v>122</v>
      </c>
      <c r="K11" s="36">
        <v>105</v>
      </c>
      <c r="L11" s="36">
        <v>134</v>
      </c>
      <c r="M11" s="36">
        <v>132</v>
      </c>
      <c r="N11" s="36">
        <v>142</v>
      </c>
      <c r="O11" s="36">
        <v>144</v>
      </c>
      <c r="P11" s="36">
        <v>140</v>
      </c>
      <c r="Q11" s="36">
        <v>138</v>
      </c>
      <c r="R11" s="36">
        <v>159</v>
      </c>
      <c r="S11" s="36">
        <v>175</v>
      </c>
      <c r="T11" s="36">
        <v>215</v>
      </c>
      <c r="U11" s="36">
        <v>254</v>
      </c>
      <c r="V11" s="36">
        <v>297</v>
      </c>
      <c r="W11" s="36">
        <v>345</v>
      </c>
      <c r="X11" s="36">
        <v>359</v>
      </c>
      <c r="Y11" s="36">
        <v>404</v>
      </c>
    </row>
    <row r="12" spans="1:25">
      <c r="A12" s="28">
        <v>900</v>
      </c>
      <c r="B12" s="28" t="s">
        <v>177</v>
      </c>
      <c r="C12" s="990">
        <v>10936</v>
      </c>
      <c r="D12" s="990">
        <v>10844</v>
      </c>
      <c r="E12" s="990">
        <v>10897</v>
      </c>
      <c r="F12" s="36">
        <v>11083</v>
      </c>
      <c r="G12" s="36">
        <v>11406</v>
      </c>
      <c r="H12" s="36">
        <v>11839</v>
      </c>
      <c r="I12" s="36">
        <v>11971</v>
      </c>
      <c r="J12" s="36">
        <v>11596</v>
      </c>
      <c r="K12" s="36">
        <v>11454</v>
      </c>
      <c r="L12" s="36">
        <v>11657</v>
      </c>
      <c r="M12" s="36">
        <v>12228</v>
      </c>
      <c r="N12" s="36">
        <v>12829</v>
      </c>
      <c r="O12" s="36">
        <v>12791</v>
      </c>
      <c r="P12" s="36">
        <v>13301</v>
      </c>
      <c r="Q12" s="36">
        <v>13870</v>
      </c>
      <c r="R12" s="36">
        <v>14123</v>
      </c>
      <c r="S12" s="36">
        <v>14705</v>
      </c>
      <c r="T12" s="36">
        <v>15222</v>
      </c>
      <c r="U12" s="36">
        <v>16038</v>
      </c>
      <c r="V12" s="36">
        <v>17023</v>
      </c>
      <c r="W12" s="36">
        <v>17643</v>
      </c>
      <c r="X12" s="36">
        <v>18963</v>
      </c>
      <c r="Y12" s="36">
        <v>19799</v>
      </c>
    </row>
    <row r="13" spans="1:25">
      <c r="A13" s="28">
        <v>305</v>
      </c>
      <c r="B13" s="28" t="s">
        <v>49</v>
      </c>
      <c r="C13" s="995">
        <v>3383</v>
      </c>
      <c r="D13" s="995">
        <v>3348</v>
      </c>
      <c r="E13" s="995">
        <v>3386</v>
      </c>
      <c r="F13" s="36">
        <v>3401</v>
      </c>
      <c r="G13" s="36">
        <v>3302</v>
      </c>
      <c r="H13" s="36">
        <v>3334</v>
      </c>
      <c r="I13" s="36">
        <v>3348</v>
      </c>
      <c r="J13" s="36">
        <v>3319</v>
      </c>
      <c r="K13" s="36">
        <v>3289</v>
      </c>
      <c r="L13" s="36">
        <v>3295</v>
      </c>
      <c r="M13" s="36">
        <v>3305</v>
      </c>
      <c r="N13" s="36">
        <v>3373</v>
      </c>
      <c r="O13" s="36">
        <v>3452</v>
      </c>
      <c r="P13" s="36">
        <v>3216</v>
      </c>
      <c r="Q13" s="36">
        <v>3160</v>
      </c>
      <c r="R13" s="36">
        <v>3291</v>
      </c>
      <c r="S13" s="36">
        <v>3297</v>
      </c>
      <c r="T13" s="36">
        <v>3226</v>
      </c>
      <c r="U13" s="36">
        <v>3098</v>
      </c>
      <c r="V13" s="36">
        <v>3683</v>
      </c>
      <c r="W13" s="36">
        <v>3570</v>
      </c>
      <c r="X13" s="36">
        <v>3334</v>
      </c>
      <c r="Y13" s="36">
        <v>3446</v>
      </c>
    </row>
    <row r="14" spans="1:25">
      <c r="A14" s="28">
        <v>373</v>
      </c>
      <c r="B14" s="28" t="s">
        <v>75</v>
      </c>
      <c r="C14" s="28"/>
      <c r="D14" s="28"/>
      <c r="E14" s="28"/>
      <c r="F14" s="36" t="s">
        <v>194</v>
      </c>
      <c r="G14" s="36">
        <v>367</v>
      </c>
      <c r="H14" s="36">
        <v>386</v>
      </c>
      <c r="I14" s="36">
        <v>195</v>
      </c>
      <c r="J14" s="36">
        <v>161</v>
      </c>
      <c r="K14" s="36">
        <v>142</v>
      </c>
      <c r="L14" s="36">
        <v>163</v>
      </c>
      <c r="M14" s="36">
        <v>186</v>
      </c>
      <c r="N14" s="36">
        <v>243</v>
      </c>
      <c r="O14" s="36">
        <v>257</v>
      </c>
      <c r="P14" s="36">
        <v>291</v>
      </c>
      <c r="Q14" s="36">
        <v>313</v>
      </c>
      <c r="R14" s="36">
        <v>391</v>
      </c>
      <c r="S14" s="36">
        <v>474</v>
      </c>
      <c r="T14" s="36">
        <v>554</v>
      </c>
      <c r="U14" s="36">
        <v>1138</v>
      </c>
      <c r="V14" s="36">
        <v>1237</v>
      </c>
      <c r="W14" s="36">
        <v>1666</v>
      </c>
      <c r="X14" s="36">
        <v>1473</v>
      </c>
      <c r="Y14" s="36">
        <v>1421</v>
      </c>
    </row>
    <row r="15" spans="1:25">
      <c r="A15" s="28">
        <v>692</v>
      </c>
      <c r="B15" s="28" t="s">
        <v>144</v>
      </c>
      <c r="C15" s="1020">
        <v>238</v>
      </c>
      <c r="D15" s="1020">
        <v>248</v>
      </c>
      <c r="E15" s="1020">
        <v>271</v>
      </c>
      <c r="F15" s="36">
        <v>294</v>
      </c>
      <c r="G15" s="36">
        <v>313</v>
      </c>
      <c r="H15" s="36">
        <v>304</v>
      </c>
      <c r="I15" s="36">
        <v>308</v>
      </c>
      <c r="J15" s="36">
        <v>319</v>
      </c>
      <c r="K15" s="36">
        <v>339</v>
      </c>
      <c r="L15" s="36">
        <v>333</v>
      </c>
      <c r="M15" s="36">
        <v>341</v>
      </c>
      <c r="N15" s="36">
        <v>381</v>
      </c>
      <c r="O15" s="36">
        <v>378</v>
      </c>
      <c r="P15" s="36">
        <v>398</v>
      </c>
      <c r="Q15" s="36">
        <v>475</v>
      </c>
      <c r="R15" s="36">
        <v>546</v>
      </c>
      <c r="S15" s="36">
        <v>550</v>
      </c>
      <c r="T15" s="36">
        <v>544</v>
      </c>
      <c r="U15" s="36">
        <v>592</v>
      </c>
      <c r="V15" s="36">
        <v>627</v>
      </c>
      <c r="W15" s="36">
        <v>677</v>
      </c>
      <c r="X15" s="36">
        <v>762</v>
      </c>
      <c r="Y15" s="36">
        <v>731</v>
      </c>
    </row>
    <row r="16" spans="1:25">
      <c r="A16" s="28">
        <v>53</v>
      </c>
      <c r="B16" s="28" t="s">
        <v>8</v>
      </c>
      <c r="C16" s="28"/>
      <c r="D16" s="28"/>
      <c r="E16" s="28"/>
      <c r="F16" s="35">
        <v>18.2</v>
      </c>
      <c r="G16" s="35">
        <v>16</v>
      </c>
      <c r="H16" s="35">
        <v>17</v>
      </c>
      <c r="I16" s="35">
        <v>17.5</v>
      </c>
      <c r="J16" s="35">
        <v>18.3</v>
      </c>
      <c r="K16" s="35">
        <v>18.899999999999999</v>
      </c>
      <c r="L16" s="35">
        <v>18.7</v>
      </c>
      <c r="M16" s="35">
        <v>21.4</v>
      </c>
      <c r="N16" s="35">
        <v>22.9</v>
      </c>
      <c r="O16" s="35">
        <v>24</v>
      </c>
      <c r="P16" s="35">
        <v>25.2</v>
      </c>
      <c r="Q16" s="35">
        <v>25.8</v>
      </c>
      <c r="R16" s="35">
        <v>25.3</v>
      </c>
      <c r="S16" s="35">
        <v>24.9</v>
      </c>
      <c r="T16" s="35">
        <v>25.9</v>
      </c>
      <c r="U16" s="35">
        <v>24.6</v>
      </c>
      <c r="V16" s="35" t="s">
        <v>194</v>
      </c>
    </row>
    <row r="17" spans="1:25">
      <c r="A17" s="28">
        <v>211</v>
      </c>
      <c r="B17" s="28" t="s">
        <v>38</v>
      </c>
      <c r="C17" s="996">
        <v>8146</v>
      </c>
      <c r="D17" s="996">
        <v>8020</v>
      </c>
      <c r="E17" s="996">
        <v>7868</v>
      </c>
      <c r="F17" s="36">
        <v>7757</v>
      </c>
      <c r="G17" s="36">
        <v>6369</v>
      </c>
      <c r="H17" s="36">
        <v>6048</v>
      </c>
      <c r="I17" s="36">
        <v>6015</v>
      </c>
      <c r="J17" s="36">
        <v>5893</v>
      </c>
      <c r="K17" s="36">
        <v>5781</v>
      </c>
      <c r="L17" s="36">
        <v>5709</v>
      </c>
      <c r="M17" s="36">
        <v>5707</v>
      </c>
      <c r="N17" s="36">
        <v>5781</v>
      </c>
      <c r="O17" s="36">
        <v>5781</v>
      </c>
      <c r="P17" s="36">
        <v>5527</v>
      </c>
      <c r="Q17" s="36">
        <v>5359</v>
      </c>
      <c r="R17" s="36">
        <v>5417</v>
      </c>
      <c r="S17" s="36">
        <v>5304</v>
      </c>
      <c r="T17" s="36">
        <v>5111</v>
      </c>
      <c r="U17" s="36">
        <v>5071</v>
      </c>
      <c r="V17" s="36">
        <v>5472</v>
      </c>
      <c r="W17" s="36">
        <v>5959</v>
      </c>
      <c r="X17" s="36">
        <v>5622</v>
      </c>
      <c r="Y17" s="36">
        <v>5382</v>
      </c>
    </row>
    <row r="18" spans="1:25">
      <c r="A18" s="28">
        <v>434</v>
      </c>
      <c r="B18" s="28" t="s">
        <v>88</v>
      </c>
      <c r="C18" s="915">
        <v>70.599999999999994</v>
      </c>
      <c r="D18" s="915">
        <v>53.7</v>
      </c>
      <c r="E18" s="915">
        <v>52.1</v>
      </c>
      <c r="F18" s="36" t="s">
        <v>194</v>
      </c>
      <c r="G18" s="36" t="s">
        <v>194</v>
      </c>
      <c r="H18" s="36" t="s">
        <v>194</v>
      </c>
      <c r="I18" s="36" t="s">
        <v>194</v>
      </c>
      <c r="J18" s="36" t="s">
        <v>194</v>
      </c>
      <c r="K18" s="36" t="s">
        <v>194</v>
      </c>
      <c r="L18" s="36" t="s">
        <v>194</v>
      </c>
      <c r="M18" s="36" t="s">
        <v>194</v>
      </c>
      <c r="N18" s="36">
        <v>32.299999999999997</v>
      </c>
      <c r="O18" s="36">
        <v>29.1</v>
      </c>
      <c r="P18" s="36">
        <v>26.1</v>
      </c>
      <c r="Q18" s="36">
        <v>48</v>
      </c>
      <c r="R18" s="36">
        <v>52.4</v>
      </c>
      <c r="S18" s="36">
        <v>57.1</v>
      </c>
      <c r="T18" s="36">
        <v>60.6</v>
      </c>
      <c r="U18" s="36">
        <v>60.6</v>
      </c>
      <c r="V18" s="36" t="s">
        <v>194</v>
      </c>
    </row>
    <row r="19" spans="1:25">
      <c r="A19" s="28">
        <v>439</v>
      </c>
      <c r="B19" s="28" t="s">
        <v>93</v>
      </c>
      <c r="C19" s="917">
        <v>60.2</v>
      </c>
      <c r="D19" s="917">
        <v>76</v>
      </c>
      <c r="E19" s="917">
        <v>82.7</v>
      </c>
      <c r="F19" s="36">
        <v>68.8</v>
      </c>
      <c r="G19" s="36">
        <v>67.2</v>
      </c>
      <c r="H19" s="36">
        <v>60.7</v>
      </c>
      <c r="I19" s="36">
        <v>47.8</v>
      </c>
      <c r="J19" s="36">
        <v>48.7</v>
      </c>
      <c r="K19" s="36">
        <v>47.4</v>
      </c>
      <c r="L19" s="36">
        <v>45.7</v>
      </c>
      <c r="M19" s="36">
        <v>53.9</v>
      </c>
      <c r="N19" s="36">
        <v>60.2</v>
      </c>
      <c r="O19" s="36">
        <v>61.3</v>
      </c>
      <c r="P19" s="36">
        <v>60.4</v>
      </c>
      <c r="Q19" s="36">
        <v>65.5</v>
      </c>
      <c r="R19" s="36">
        <v>66.5</v>
      </c>
      <c r="S19" s="36">
        <v>79.099999999999994</v>
      </c>
      <c r="T19" s="36">
        <v>82.6</v>
      </c>
      <c r="U19" s="36">
        <v>89</v>
      </c>
      <c r="V19" s="36">
        <v>110</v>
      </c>
    </row>
    <row r="20" spans="1:25">
      <c r="A20" s="28">
        <v>31</v>
      </c>
      <c r="B20" s="28" t="s">
        <v>2</v>
      </c>
      <c r="C20" s="28"/>
      <c r="D20" s="28"/>
      <c r="E20" s="28"/>
      <c r="F20" s="35">
        <v>32.4</v>
      </c>
      <c r="G20" s="35">
        <v>31.6</v>
      </c>
      <c r="H20" s="35">
        <v>31.8</v>
      </c>
      <c r="I20" s="35">
        <v>31.9</v>
      </c>
      <c r="J20" s="35">
        <v>31.9</v>
      </c>
      <c r="K20" s="35">
        <v>30.3</v>
      </c>
      <c r="L20" s="35">
        <v>38.6</v>
      </c>
      <c r="M20" s="35">
        <v>37.9</v>
      </c>
      <c r="N20" s="35">
        <v>38.200000000000003</v>
      </c>
      <c r="O20" s="35">
        <v>31.5</v>
      </c>
      <c r="P20" s="35">
        <v>30.4</v>
      </c>
      <c r="Q20" s="35">
        <v>31.9</v>
      </c>
      <c r="R20" s="35">
        <v>33.700000000000003</v>
      </c>
      <c r="S20" s="35">
        <v>35.4</v>
      </c>
      <c r="T20" s="35">
        <v>35.700000000000003</v>
      </c>
      <c r="U20" s="35">
        <v>43.5</v>
      </c>
      <c r="V20" s="35">
        <v>55.6</v>
      </c>
    </row>
    <row r="21" spans="1:25">
      <c r="A21" s="28">
        <v>370</v>
      </c>
      <c r="B21" s="28" t="s">
        <v>72</v>
      </c>
      <c r="C21" s="28"/>
      <c r="D21" s="28"/>
      <c r="E21" s="28"/>
      <c r="F21" s="36" t="s">
        <v>194</v>
      </c>
      <c r="G21" s="36">
        <v>309</v>
      </c>
      <c r="H21" s="36">
        <v>475</v>
      </c>
      <c r="I21" s="36">
        <v>493</v>
      </c>
      <c r="J21" s="36">
        <v>196</v>
      </c>
      <c r="K21" s="36">
        <v>150</v>
      </c>
      <c r="L21" s="36">
        <v>246</v>
      </c>
      <c r="M21" s="36">
        <v>230</v>
      </c>
      <c r="N21" s="36">
        <v>230</v>
      </c>
      <c r="O21" s="36">
        <v>255</v>
      </c>
      <c r="P21" s="36">
        <v>318</v>
      </c>
      <c r="Q21" s="36">
        <v>330</v>
      </c>
      <c r="R21" s="36">
        <v>334</v>
      </c>
      <c r="S21" s="36">
        <v>404</v>
      </c>
      <c r="T21" s="36">
        <v>526</v>
      </c>
      <c r="U21" s="36">
        <v>683</v>
      </c>
      <c r="V21" s="36">
        <v>745</v>
      </c>
      <c r="W21" s="36">
        <v>764</v>
      </c>
      <c r="X21" s="36">
        <v>676</v>
      </c>
      <c r="Y21" s="36">
        <v>726</v>
      </c>
    </row>
    <row r="22" spans="1:25">
      <c r="A22" s="28">
        <v>80</v>
      </c>
      <c r="B22" s="28" t="s">
        <v>16</v>
      </c>
      <c r="C22" s="950">
        <v>4.9000000000000004</v>
      </c>
      <c r="D22" s="950">
        <v>6.8</v>
      </c>
      <c r="E22" s="950">
        <v>7.2</v>
      </c>
      <c r="F22" s="36">
        <v>7</v>
      </c>
      <c r="G22" s="36">
        <v>7.6</v>
      </c>
      <c r="H22" s="36">
        <v>8.6999999999999993</v>
      </c>
      <c r="I22" s="36">
        <v>11</v>
      </c>
      <c r="J22" s="36">
        <v>10.9</v>
      </c>
      <c r="K22" s="36">
        <v>10.1</v>
      </c>
      <c r="L22" s="36">
        <v>11.8</v>
      </c>
      <c r="M22" s="36" t="s">
        <v>194</v>
      </c>
      <c r="N22" s="36">
        <v>7.7</v>
      </c>
      <c r="O22" s="36">
        <v>9.1</v>
      </c>
      <c r="P22" s="36">
        <v>9.4</v>
      </c>
      <c r="Q22" s="36">
        <v>9.6</v>
      </c>
      <c r="R22" s="36">
        <v>10.3</v>
      </c>
      <c r="S22" s="36">
        <v>11</v>
      </c>
      <c r="T22" s="36">
        <v>12</v>
      </c>
      <c r="U22" s="36">
        <v>13.2</v>
      </c>
      <c r="V22" s="36">
        <v>14.5</v>
      </c>
      <c r="W22" s="36">
        <v>18.5</v>
      </c>
      <c r="X22" s="36">
        <v>16.899999999999999</v>
      </c>
      <c r="Y22" s="36">
        <v>14.9</v>
      </c>
    </row>
    <row r="23" spans="1:25">
      <c r="A23" s="28">
        <v>771</v>
      </c>
      <c r="B23" s="28" t="s">
        <v>163</v>
      </c>
      <c r="C23" s="985">
        <v>432</v>
      </c>
      <c r="D23" s="985">
        <v>472</v>
      </c>
      <c r="E23" s="985">
        <v>470</v>
      </c>
      <c r="F23" s="36">
        <v>478</v>
      </c>
      <c r="G23" s="36">
        <v>551</v>
      </c>
      <c r="H23" s="36">
        <v>598</v>
      </c>
      <c r="I23" s="36">
        <v>670</v>
      </c>
      <c r="J23" s="36">
        <v>690</v>
      </c>
      <c r="K23" s="36">
        <v>721</v>
      </c>
      <c r="L23" s="36">
        <v>767</v>
      </c>
      <c r="M23" s="36">
        <v>778</v>
      </c>
      <c r="N23" s="36">
        <v>806</v>
      </c>
      <c r="O23" s="36">
        <v>842</v>
      </c>
      <c r="P23" s="36">
        <v>841</v>
      </c>
      <c r="Q23" s="36">
        <v>816</v>
      </c>
      <c r="R23" s="36">
        <v>818</v>
      </c>
      <c r="S23" s="36">
        <v>822</v>
      </c>
      <c r="T23" s="36">
        <v>833</v>
      </c>
      <c r="U23" s="36">
        <v>897</v>
      </c>
      <c r="V23" s="36">
        <v>944</v>
      </c>
      <c r="W23" s="36">
        <v>932</v>
      </c>
      <c r="X23" s="36">
        <v>1024</v>
      </c>
      <c r="Y23" s="36">
        <v>1137</v>
      </c>
    </row>
    <row r="24" spans="1:25">
      <c r="A24" s="28">
        <v>145</v>
      </c>
      <c r="B24" s="28" t="s">
        <v>30</v>
      </c>
      <c r="C24" s="28"/>
      <c r="D24" s="963">
        <v>165</v>
      </c>
      <c r="E24" s="963">
        <v>224</v>
      </c>
      <c r="F24" s="36">
        <v>218</v>
      </c>
      <c r="G24" s="36">
        <v>201</v>
      </c>
      <c r="H24" s="36">
        <v>205</v>
      </c>
      <c r="I24" s="36">
        <v>208</v>
      </c>
      <c r="J24" s="36">
        <v>205</v>
      </c>
      <c r="K24" s="36">
        <v>200</v>
      </c>
      <c r="L24" s="36">
        <v>238</v>
      </c>
      <c r="M24" s="36">
        <v>280</v>
      </c>
      <c r="N24" s="36">
        <v>237</v>
      </c>
      <c r="O24" s="36">
        <v>226</v>
      </c>
      <c r="P24" s="36">
        <v>266</v>
      </c>
      <c r="Q24" s="36">
        <v>264</v>
      </c>
      <c r="R24" s="36">
        <v>292</v>
      </c>
      <c r="S24" s="36">
        <v>284</v>
      </c>
      <c r="T24" s="36">
        <v>274</v>
      </c>
      <c r="U24" s="36">
        <v>277</v>
      </c>
      <c r="V24" s="36">
        <v>307</v>
      </c>
      <c r="W24" s="36">
        <v>361</v>
      </c>
      <c r="X24" s="36">
        <v>347</v>
      </c>
      <c r="Y24" s="36">
        <v>314</v>
      </c>
    </row>
    <row r="25" spans="1:25">
      <c r="A25" s="28">
        <v>346</v>
      </c>
      <c r="B25" s="28" t="s">
        <v>60</v>
      </c>
      <c r="C25" s="28"/>
      <c r="D25" s="28"/>
      <c r="E25" s="28"/>
      <c r="F25" s="36" t="s">
        <v>194</v>
      </c>
      <c r="G25" s="36" t="s">
        <v>194</v>
      </c>
      <c r="H25" s="36" t="s">
        <v>194</v>
      </c>
      <c r="I25" s="36" t="s">
        <v>194</v>
      </c>
      <c r="J25" s="36" t="s">
        <v>194</v>
      </c>
      <c r="K25" s="36" t="s">
        <v>194</v>
      </c>
      <c r="L25" s="36" t="s">
        <v>194</v>
      </c>
      <c r="M25" s="36" t="s">
        <v>194</v>
      </c>
      <c r="N25" s="36" t="s">
        <v>194</v>
      </c>
      <c r="O25" s="36" t="s">
        <v>194</v>
      </c>
      <c r="P25" s="36" t="s">
        <v>194</v>
      </c>
      <c r="Q25" s="36">
        <v>428</v>
      </c>
      <c r="R25" s="36">
        <v>298</v>
      </c>
      <c r="S25" s="36">
        <v>267</v>
      </c>
      <c r="T25" s="36">
        <v>223</v>
      </c>
      <c r="U25" s="36">
        <v>215</v>
      </c>
      <c r="V25" s="36">
        <v>212</v>
      </c>
      <c r="W25" s="36">
        <v>220</v>
      </c>
      <c r="X25" s="36">
        <v>242</v>
      </c>
      <c r="Y25" s="36">
        <v>232</v>
      </c>
    </row>
    <row r="26" spans="1:25">
      <c r="A26" s="28">
        <v>571</v>
      </c>
      <c r="B26" s="28" t="s">
        <v>122</v>
      </c>
      <c r="C26" s="916">
        <v>171</v>
      </c>
      <c r="D26" s="916">
        <v>185</v>
      </c>
      <c r="E26" s="916">
        <v>234</v>
      </c>
      <c r="F26" s="36">
        <v>250</v>
      </c>
      <c r="G26" s="36">
        <v>233</v>
      </c>
      <c r="H26" s="36">
        <v>244</v>
      </c>
      <c r="I26" s="36">
        <v>224</v>
      </c>
      <c r="J26" s="36">
        <v>204</v>
      </c>
      <c r="K26" s="36">
        <v>188</v>
      </c>
      <c r="L26" s="36">
        <v>217</v>
      </c>
      <c r="M26" s="36">
        <v>266</v>
      </c>
      <c r="N26" s="36">
        <v>253</v>
      </c>
      <c r="O26" s="36">
        <v>280</v>
      </c>
      <c r="P26" s="36">
        <v>342</v>
      </c>
      <c r="Q26" s="36">
        <v>365</v>
      </c>
      <c r="R26" s="36">
        <v>352</v>
      </c>
      <c r="S26" s="36">
        <v>325</v>
      </c>
      <c r="T26" s="36">
        <v>312</v>
      </c>
      <c r="U26" s="36">
        <v>301</v>
      </c>
      <c r="V26" s="36">
        <v>331</v>
      </c>
    </row>
    <row r="27" spans="1:25">
      <c r="A27" s="28">
        <v>140</v>
      </c>
      <c r="B27" s="28" t="s">
        <v>29</v>
      </c>
      <c r="C27" s="964">
        <v>17180</v>
      </c>
      <c r="D27" s="964">
        <v>17005</v>
      </c>
      <c r="E27" s="964">
        <v>11701</v>
      </c>
      <c r="F27" s="36">
        <v>6913</v>
      </c>
      <c r="G27" s="36">
        <v>7168</v>
      </c>
      <c r="H27" s="36">
        <v>10390</v>
      </c>
      <c r="I27" s="36">
        <v>12279</v>
      </c>
      <c r="J27" s="36">
        <v>17076</v>
      </c>
      <c r="K27" s="36">
        <v>15880</v>
      </c>
      <c r="L27" s="36">
        <v>15771</v>
      </c>
      <c r="M27" s="36">
        <v>16952</v>
      </c>
      <c r="N27" s="36">
        <v>17366</v>
      </c>
      <c r="O27" s="36">
        <v>18811</v>
      </c>
      <c r="P27" s="36">
        <v>21679</v>
      </c>
      <c r="Q27" s="36">
        <v>22079</v>
      </c>
      <c r="R27" s="36">
        <v>17614</v>
      </c>
      <c r="S27" s="36">
        <v>18301</v>
      </c>
      <c r="T27" s="36">
        <v>19802</v>
      </c>
      <c r="U27" s="36">
        <v>20504</v>
      </c>
      <c r="V27" s="36">
        <v>22114</v>
      </c>
      <c r="W27" s="36">
        <v>23528</v>
      </c>
      <c r="X27" s="36">
        <v>25704</v>
      </c>
      <c r="Y27" s="36">
        <v>28096</v>
      </c>
    </row>
    <row r="28" spans="1:25">
      <c r="A28" s="28">
        <v>835</v>
      </c>
      <c r="B28" s="28" t="s">
        <v>174</v>
      </c>
      <c r="C28" s="972">
        <v>326</v>
      </c>
      <c r="D28" s="972">
        <v>325</v>
      </c>
      <c r="E28" s="972">
        <v>368</v>
      </c>
      <c r="F28" s="36">
        <v>366</v>
      </c>
      <c r="G28" s="36">
        <v>350</v>
      </c>
      <c r="H28" s="36">
        <v>309</v>
      </c>
      <c r="I28" s="36">
        <v>319</v>
      </c>
      <c r="J28" s="36">
        <v>305</v>
      </c>
      <c r="K28" s="36">
        <v>342</v>
      </c>
      <c r="L28" s="36">
        <v>398</v>
      </c>
      <c r="M28" s="36">
        <v>359</v>
      </c>
      <c r="N28" s="36">
        <v>321</v>
      </c>
      <c r="O28" s="36">
        <v>304</v>
      </c>
      <c r="P28" s="36">
        <v>280</v>
      </c>
      <c r="Q28" s="36">
        <v>297</v>
      </c>
      <c r="R28" s="36">
        <v>310</v>
      </c>
      <c r="S28" s="36">
        <v>245</v>
      </c>
      <c r="T28" s="36">
        <v>297</v>
      </c>
      <c r="U28" s="36">
        <v>334</v>
      </c>
      <c r="V28" s="36">
        <v>345</v>
      </c>
      <c r="W28" s="36">
        <v>336</v>
      </c>
      <c r="X28" s="36">
        <v>331</v>
      </c>
      <c r="Y28" s="36">
        <v>327</v>
      </c>
    </row>
    <row r="29" spans="1:25">
      <c r="A29" s="28">
        <v>516</v>
      </c>
      <c r="B29" s="28" t="s">
        <v>108</v>
      </c>
      <c r="C29" s="918">
        <v>41.8</v>
      </c>
      <c r="D29" s="918">
        <v>46.9</v>
      </c>
      <c r="E29" s="918">
        <v>49.4</v>
      </c>
      <c r="F29" s="36">
        <v>51.9</v>
      </c>
      <c r="G29" s="36">
        <v>53.3</v>
      </c>
      <c r="H29" s="36">
        <v>52.7</v>
      </c>
      <c r="I29" s="36">
        <v>55.2</v>
      </c>
      <c r="J29" s="36">
        <v>45.9</v>
      </c>
      <c r="K29" s="36">
        <v>53.2</v>
      </c>
      <c r="L29" s="36">
        <v>57.4</v>
      </c>
      <c r="M29" s="36">
        <v>61.6</v>
      </c>
      <c r="N29" s="36">
        <v>64.599999999999994</v>
      </c>
      <c r="O29" s="36">
        <v>55.6</v>
      </c>
      <c r="P29" s="36">
        <v>73.7</v>
      </c>
      <c r="Q29" s="36">
        <v>70.7</v>
      </c>
      <c r="R29" s="36">
        <v>73.7</v>
      </c>
      <c r="S29" s="36">
        <v>69.900000000000006</v>
      </c>
      <c r="T29" s="36">
        <v>66.8</v>
      </c>
      <c r="U29" s="36">
        <v>55.8</v>
      </c>
      <c r="V29" s="36">
        <v>56.1</v>
      </c>
      <c r="W29" s="36">
        <v>120</v>
      </c>
      <c r="X29" s="36">
        <v>110</v>
      </c>
      <c r="Y29" s="36">
        <v>140</v>
      </c>
    </row>
    <row r="30" spans="1:25">
      <c r="A30" s="28">
        <v>355</v>
      </c>
      <c r="B30" s="28" t="s">
        <v>64</v>
      </c>
      <c r="C30" s="28"/>
      <c r="D30" s="997">
        <v>4231</v>
      </c>
      <c r="E30" s="997">
        <v>3415</v>
      </c>
      <c r="F30" s="36">
        <v>1853</v>
      </c>
      <c r="G30" s="36">
        <v>1398</v>
      </c>
      <c r="H30" s="36">
        <v>1056</v>
      </c>
      <c r="I30" s="36">
        <v>1444</v>
      </c>
      <c r="J30" s="36">
        <v>1070</v>
      </c>
      <c r="K30" s="36">
        <v>731</v>
      </c>
      <c r="L30" s="36">
        <v>681</v>
      </c>
      <c r="M30" s="36">
        <v>789</v>
      </c>
      <c r="N30" s="36">
        <v>895</v>
      </c>
      <c r="O30" s="36">
        <v>923</v>
      </c>
      <c r="P30" s="36">
        <v>1022</v>
      </c>
      <c r="Q30" s="36">
        <v>1031</v>
      </c>
      <c r="R30" s="36">
        <v>1051</v>
      </c>
      <c r="S30" s="36">
        <v>1027</v>
      </c>
      <c r="T30" s="36">
        <v>1050</v>
      </c>
      <c r="U30" s="36">
        <v>1042</v>
      </c>
      <c r="V30" s="36">
        <v>1210</v>
      </c>
      <c r="W30" s="36">
        <v>1014</v>
      </c>
      <c r="X30" s="36">
        <v>963</v>
      </c>
      <c r="Y30" s="36">
        <v>698</v>
      </c>
    </row>
    <row r="31" spans="1:25">
      <c r="A31" s="28">
        <v>811</v>
      </c>
      <c r="B31" s="28" t="s">
        <v>169</v>
      </c>
      <c r="C31" s="973">
        <v>58.1</v>
      </c>
      <c r="D31" s="973">
        <v>72.3</v>
      </c>
      <c r="E31" s="973">
        <v>77</v>
      </c>
      <c r="F31" s="36">
        <v>64.900000000000006</v>
      </c>
      <c r="G31" s="36">
        <v>94.2</v>
      </c>
      <c r="H31" s="36">
        <v>66.900000000000006</v>
      </c>
      <c r="I31" s="36">
        <v>146</v>
      </c>
      <c r="J31" s="36">
        <v>160</v>
      </c>
      <c r="K31" s="36">
        <v>143</v>
      </c>
      <c r="L31" s="36">
        <v>142</v>
      </c>
      <c r="M31" s="36">
        <v>127</v>
      </c>
      <c r="N31" s="36">
        <v>131</v>
      </c>
      <c r="O31" s="36">
        <v>121</v>
      </c>
      <c r="P31" s="36">
        <v>111</v>
      </c>
      <c r="Q31" s="36">
        <v>101</v>
      </c>
      <c r="R31" s="36">
        <v>102</v>
      </c>
      <c r="S31" s="36">
        <v>99.1</v>
      </c>
      <c r="T31" s="36">
        <v>99.1</v>
      </c>
      <c r="U31" s="36">
        <v>106</v>
      </c>
      <c r="V31" s="36">
        <v>116</v>
      </c>
      <c r="W31" s="36">
        <v>123</v>
      </c>
      <c r="X31" s="36">
        <v>191</v>
      </c>
      <c r="Y31" s="36" t="s">
        <v>194</v>
      </c>
    </row>
    <row r="32" spans="1:25">
      <c r="A32" s="28">
        <v>20</v>
      </c>
      <c r="B32" s="28" t="s">
        <v>1</v>
      </c>
      <c r="C32" s="960">
        <v>17123</v>
      </c>
      <c r="D32" s="960">
        <v>17037</v>
      </c>
      <c r="E32" s="960">
        <v>17021</v>
      </c>
      <c r="F32" s="36">
        <v>15719</v>
      </c>
      <c r="G32" s="36">
        <v>15546</v>
      </c>
      <c r="H32" s="36">
        <v>15506</v>
      </c>
      <c r="I32" s="36">
        <v>15278</v>
      </c>
      <c r="J32" s="36">
        <v>14403</v>
      </c>
      <c r="K32" s="36">
        <v>13223</v>
      </c>
      <c r="L32" s="36">
        <v>12190</v>
      </c>
      <c r="M32" s="36">
        <v>12615</v>
      </c>
      <c r="N32" s="36">
        <v>13155</v>
      </c>
      <c r="O32" s="36">
        <v>12943</v>
      </c>
      <c r="P32" s="36">
        <v>13280</v>
      </c>
      <c r="Q32" s="36">
        <v>13350</v>
      </c>
      <c r="R32" s="36">
        <v>13595</v>
      </c>
      <c r="S32" s="36">
        <v>14110</v>
      </c>
      <c r="T32" s="36">
        <v>14730</v>
      </c>
      <c r="U32" s="36">
        <v>15415</v>
      </c>
      <c r="V32" s="36">
        <v>16806</v>
      </c>
      <c r="W32" s="36">
        <v>18111</v>
      </c>
      <c r="X32" s="36">
        <v>19518</v>
      </c>
      <c r="Y32" s="36">
        <v>20164</v>
      </c>
    </row>
    <row r="33" spans="1:25">
      <c r="A33" s="28">
        <v>471</v>
      </c>
      <c r="B33" s="28" t="s">
        <v>98</v>
      </c>
      <c r="C33" s="919">
        <v>204</v>
      </c>
      <c r="D33" s="919">
        <v>211</v>
      </c>
      <c r="E33" s="919">
        <v>219</v>
      </c>
      <c r="F33" s="36">
        <v>224</v>
      </c>
      <c r="G33" s="36">
        <v>217</v>
      </c>
      <c r="H33" s="36">
        <v>219</v>
      </c>
      <c r="I33" s="36">
        <v>179</v>
      </c>
      <c r="J33" s="36">
        <v>177</v>
      </c>
      <c r="K33" s="36">
        <v>180</v>
      </c>
      <c r="L33" s="36">
        <v>199</v>
      </c>
      <c r="M33" s="36">
        <v>225</v>
      </c>
      <c r="N33" s="36">
        <v>243</v>
      </c>
      <c r="O33" s="36">
        <v>236</v>
      </c>
      <c r="P33" s="36">
        <v>235</v>
      </c>
      <c r="Q33" s="36">
        <v>255</v>
      </c>
      <c r="R33" s="36">
        <v>273</v>
      </c>
      <c r="S33" s="36">
        <v>291</v>
      </c>
      <c r="T33" s="36">
        <v>287</v>
      </c>
      <c r="U33" s="36">
        <v>312</v>
      </c>
      <c r="V33" s="36">
        <v>327</v>
      </c>
    </row>
    <row r="34" spans="1:25">
      <c r="A34" s="28">
        <v>402</v>
      </c>
      <c r="B34" s="28" t="s">
        <v>81</v>
      </c>
      <c r="C34" s="920">
        <v>10.9</v>
      </c>
      <c r="D34" s="28"/>
      <c r="E34" s="28"/>
      <c r="F34" s="36" t="s">
        <v>194</v>
      </c>
      <c r="G34" s="36" t="s">
        <v>194</v>
      </c>
      <c r="H34" s="36">
        <v>4.7</v>
      </c>
      <c r="I34" s="36">
        <v>5.8</v>
      </c>
      <c r="J34" s="36">
        <v>9.1</v>
      </c>
      <c r="K34" s="36">
        <v>6.4</v>
      </c>
      <c r="L34" s="36">
        <v>6.4</v>
      </c>
      <c r="M34" s="36">
        <v>7.1</v>
      </c>
      <c r="N34" s="36">
        <v>7.9</v>
      </c>
      <c r="O34" s="36">
        <v>12.8</v>
      </c>
      <c r="P34" s="36">
        <v>8.6999999999999993</v>
      </c>
      <c r="Q34" s="36">
        <v>7.9</v>
      </c>
      <c r="R34" s="36">
        <v>8.3000000000000007</v>
      </c>
      <c r="S34" s="36">
        <v>8.6</v>
      </c>
      <c r="T34" s="36">
        <v>9.1999999999999993</v>
      </c>
      <c r="U34" s="36">
        <v>8.6999999999999993</v>
      </c>
      <c r="V34" s="36">
        <v>8.6999999999999993</v>
      </c>
      <c r="W34" s="36">
        <v>8.1999999999999993</v>
      </c>
      <c r="X34" s="36">
        <v>8.6</v>
      </c>
      <c r="Y34" s="36">
        <v>8.8000000000000007</v>
      </c>
    </row>
    <row r="35" spans="1:25">
      <c r="A35" s="28">
        <v>437</v>
      </c>
      <c r="B35" s="28" t="s">
        <v>91</v>
      </c>
      <c r="C35" s="921">
        <v>191</v>
      </c>
      <c r="D35" s="921">
        <v>205</v>
      </c>
      <c r="E35" s="921">
        <v>196</v>
      </c>
      <c r="F35" s="36">
        <v>200</v>
      </c>
      <c r="G35" s="36">
        <v>196</v>
      </c>
      <c r="H35" s="36">
        <v>194</v>
      </c>
      <c r="I35" s="36">
        <v>171</v>
      </c>
      <c r="J35" s="36" t="s">
        <v>194</v>
      </c>
      <c r="K35" s="36">
        <v>164</v>
      </c>
      <c r="L35" s="36">
        <v>164</v>
      </c>
      <c r="M35" s="36" t="s">
        <v>194</v>
      </c>
      <c r="N35" s="36" t="s">
        <v>194</v>
      </c>
      <c r="O35" s="36" t="s">
        <v>194</v>
      </c>
      <c r="P35" s="36" t="s">
        <v>194</v>
      </c>
      <c r="Q35" s="36" t="s">
        <v>194</v>
      </c>
      <c r="R35" s="36">
        <v>310</v>
      </c>
      <c r="S35" s="36">
        <v>327</v>
      </c>
      <c r="T35" s="36">
        <v>313</v>
      </c>
      <c r="U35" s="36">
        <v>324</v>
      </c>
      <c r="V35" s="36">
        <v>353</v>
      </c>
      <c r="W35" s="36">
        <v>30.9</v>
      </c>
      <c r="X35" s="36">
        <v>36</v>
      </c>
      <c r="Y35" s="36">
        <v>52.9</v>
      </c>
    </row>
    <row r="36" spans="1:25">
      <c r="A36" s="28">
        <v>482</v>
      </c>
      <c r="B36" s="28" t="s">
        <v>101</v>
      </c>
      <c r="C36" s="28"/>
      <c r="D36" s="28"/>
      <c r="E36" s="28"/>
      <c r="F36" s="36">
        <v>26.2</v>
      </c>
      <c r="G36" s="36">
        <v>26.8</v>
      </c>
      <c r="H36" s="36">
        <v>24.4</v>
      </c>
      <c r="I36" s="36">
        <v>21.4</v>
      </c>
      <c r="J36" s="36">
        <v>19.7</v>
      </c>
      <c r="K36" s="36">
        <v>18.2</v>
      </c>
      <c r="L36" s="36" t="s">
        <v>194</v>
      </c>
      <c r="M36" s="36" t="s">
        <v>194</v>
      </c>
      <c r="N36" s="36" t="s">
        <v>194</v>
      </c>
      <c r="O36" s="36" t="s">
        <v>194</v>
      </c>
      <c r="P36" s="36" t="s">
        <v>194</v>
      </c>
      <c r="Q36" s="36">
        <v>20.2</v>
      </c>
      <c r="R36" s="36">
        <v>22.7</v>
      </c>
      <c r="S36" s="36">
        <v>21.2</v>
      </c>
      <c r="T36" s="36">
        <v>21</v>
      </c>
      <c r="U36" s="36" t="s">
        <v>194</v>
      </c>
      <c r="V36" s="36">
        <v>21.9</v>
      </c>
      <c r="W36" s="36">
        <v>638</v>
      </c>
      <c r="X36" s="36">
        <v>436</v>
      </c>
      <c r="Y36" s="36">
        <v>242</v>
      </c>
    </row>
    <row r="37" spans="1:25">
      <c r="A37" s="28">
        <v>483</v>
      </c>
      <c r="B37" s="28" t="s">
        <v>102</v>
      </c>
      <c r="C37" s="28"/>
      <c r="D37" s="28"/>
      <c r="E37" s="28"/>
      <c r="F37" s="36" t="s">
        <v>194</v>
      </c>
      <c r="G37" s="36" t="s">
        <v>194</v>
      </c>
      <c r="H37" s="36">
        <v>74.400000000000006</v>
      </c>
      <c r="I37" s="36">
        <v>58.6</v>
      </c>
      <c r="J37" s="36">
        <v>43.5</v>
      </c>
      <c r="K37" s="36">
        <v>49.5</v>
      </c>
      <c r="L37" s="36">
        <v>35.799999999999997</v>
      </c>
      <c r="M37" s="36">
        <v>33.799999999999997</v>
      </c>
      <c r="N37" s="36">
        <v>49.8</v>
      </c>
      <c r="O37" s="36">
        <v>56.3</v>
      </c>
      <c r="P37" s="36">
        <v>60</v>
      </c>
      <c r="Q37" s="36">
        <v>60.6</v>
      </c>
      <c r="R37" s="36">
        <v>61.4</v>
      </c>
      <c r="S37" s="36">
        <v>72.7</v>
      </c>
      <c r="T37" s="36">
        <v>73.900000000000006</v>
      </c>
      <c r="U37" s="36" t="s">
        <v>194</v>
      </c>
      <c r="V37" s="36">
        <v>479</v>
      </c>
    </row>
    <row r="38" spans="1:25">
      <c r="A38" s="28">
        <v>155</v>
      </c>
      <c r="B38" s="28" t="s">
        <v>32</v>
      </c>
      <c r="C38" s="965">
        <v>2606</v>
      </c>
      <c r="D38" s="965">
        <v>2309</v>
      </c>
      <c r="E38" s="965">
        <v>2371</v>
      </c>
      <c r="F38" s="36">
        <v>2444</v>
      </c>
      <c r="G38" s="36">
        <v>2530</v>
      </c>
      <c r="H38" s="36">
        <v>2593</v>
      </c>
      <c r="I38" s="36">
        <v>2622</v>
      </c>
      <c r="J38" s="36">
        <v>2686</v>
      </c>
      <c r="K38" s="36">
        <v>2788</v>
      </c>
      <c r="L38" s="36">
        <v>3032</v>
      </c>
      <c r="M38" s="36">
        <v>3235</v>
      </c>
      <c r="N38" s="36">
        <v>3426</v>
      </c>
      <c r="O38" s="36">
        <v>3625</v>
      </c>
      <c r="P38" s="36">
        <v>3763</v>
      </c>
      <c r="Q38" s="36">
        <v>4013</v>
      </c>
      <c r="R38" s="36">
        <v>4074</v>
      </c>
      <c r="S38" s="36">
        <v>4723</v>
      </c>
      <c r="T38" s="36">
        <v>5090</v>
      </c>
      <c r="U38" s="36">
        <v>5633</v>
      </c>
      <c r="V38" s="36">
        <v>5781</v>
      </c>
      <c r="W38" s="36">
        <v>5626</v>
      </c>
      <c r="X38" s="36">
        <v>5679</v>
      </c>
      <c r="Y38" s="36">
        <v>6198</v>
      </c>
    </row>
    <row r="39" spans="1:25">
      <c r="A39" s="28">
        <v>710</v>
      </c>
      <c r="B39" s="28" t="s">
        <v>154</v>
      </c>
      <c r="C39" s="28"/>
      <c r="D39" s="974">
        <v>15900</v>
      </c>
      <c r="E39" s="974">
        <v>17200</v>
      </c>
      <c r="F39" s="36">
        <v>18000</v>
      </c>
      <c r="G39" s="36">
        <v>21900</v>
      </c>
      <c r="H39" s="36">
        <v>20300</v>
      </c>
      <c r="I39" s="36">
        <v>19400</v>
      </c>
      <c r="J39" s="36">
        <v>20000</v>
      </c>
      <c r="K39" s="36">
        <v>22000</v>
      </c>
      <c r="L39" s="36">
        <v>22800</v>
      </c>
      <c r="M39" s="36">
        <v>25900</v>
      </c>
      <c r="N39" s="36">
        <v>29800</v>
      </c>
      <c r="O39" s="36">
        <v>32100</v>
      </c>
      <c r="P39" s="36">
        <v>39500</v>
      </c>
      <c r="Q39" s="36">
        <v>45900</v>
      </c>
      <c r="R39" s="36">
        <v>49800</v>
      </c>
      <c r="S39" s="36">
        <v>55200</v>
      </c>
      <c r="T39" s="36">
        <v>62100</v>
      </c>
      <c r="U39" s="36">
        <v>72900</v>
      </c>
      <c r="V39" s="36">
        <v>84100</v>
      </c>
      <c r="W39" s="36">
        <v>92700</v>
      </c>
      <c r="X39" s="36">
        <v>110100</v>
      </c>
      <c r="Y39" s="36">
        <v>114300</v>
      </c>
    </row>
    <row r="40" spans="1:25">
      <c r="A40" s="28">
        <v>100</v>
      </c>
      <c r="B40" s="28" t="s">
        <v>23</v>
      </c>
      <c r="C40" s="966">
        <v>2747</v>
      </c>
      <c r="D40" s="966">
        <v>3075</v>
      </c>
      <c r="E40" s="966">
        <v>3159</v>
      </c>
      <c r="F40" s="36">
        <v>2990</v>
      </c>
      <c r="G40" s="36">
        <v>3192</v>
      </c>
      <c r="H40" s="36">
        <v>3263</v>
      </c>
      <c r="I40" s="36">
        <v>3118</v>
      </c>
      <c r="J40" s="36">
        <v>3533</v>
      </c>
      <c r="K40" s="36">
        <v>4120</v>
      </c>
      <c r="L40" s="36">
        <v>4696</v>
      </c>
      <c r="M40" s="36">
        <v>3644</v>
      </c>
      <c r="N40" s="36">
        <v>3750</v>
      </c>
      <c r="O40" s="36">
        <v>4730</v>
      </c>
      <c r="P40" s="36">
        <v>5347</v>
      </c>
      <c r="Q40" s="36">
        <v>5530</v>
      </c>
      <c r="R40" s="36">
        <v>6429</v>
      </c>
      <c r="S40" s="36">
        <v>6340</v>
      </c>
      <c r="T40" s="36">
        <v>6541</v>
      </c>
      <c r="U40" s="36">
        <v>6909</v>
      </c>
      <c r="V40" s="36">
        <v>7430</v>
      </c>
      <c r="W40" s="36">
        <v>8323</v>
      </c>
      <c r="X40" s="36">
        <v>8569</v>
      </c>
      <c r="Y40" s="36">
        <v>9191</v>
      </c>
    </row>
    <row r="41" spans="1:25">
      <c r="A41" s="28">
        <v>484</v>
      </c>
      <c r="B41" s="28" t="s">
        <v>103</v>
      </c>
      <c r="C41" s="28"/>
      <c r="D41" s="28"/>
      <c r="E41" s="28"/>
      <c r="F41" s="36" t="s">
        <v>194</v>
      </c>
      <c r="G41" s="36" t="s">
        <v>194</v>
      </c>
      <c r="H41" s="36" t="s">
        <v>194</v>
      </c>
      <c r="I41" s="36" t="s">
        <v>194</v>
      </c>
      <c r="J41" s="36" t="s">
        <v>194</v>
      </c>
      <c r="K41" s="36" t="s">
        <v>194</v>
      </c>
      <c r="L41" s="36" t="s">
        <v>194</v>
      </c>
      <c r="M41" s="36" t="s">
        <v>194</v>
      </c>
      <c r="N41" s="36" t="s">
        <v>194</v>
      </c>
      <c r="O41" s="36" t="s">
        <v>194</v>
      </c>
      <c r="P41" s="36">
        <v>81.2</v>
      </c>
      <c r="Q41" s="36">
        <v>96</v>
      </c>
      <c r="R41" s="36">
        <v>107</v>
      </c>
      <c r="S41" s="36">
        <v>108</v>
      </c>
      <c r="T41" s="36">
        <v>110</v>
      </c>
      <c r="U41" s="36">
        <v>108</v>
      </c>
      <c r="V41" s="36">
        <v>121</v>
      </c>
    </row>
    <row r="42" spans="1:25">
      <c r="A42" s="28">
        <v>94</v>
      </c>
      <c r="B42" s="28" t="s">
        <v>21</v>
      </c>
      <c r="C42" s="951">
        <v>0</v>
      </c>
      <c r="D42" s="951">
        <v>0</v>
      </c>
      <c r="E42" s="951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</row>
    <row r="43" spans="1:25">
      <c r="A43" s="28">
        <v>344</v>
      </c>
      <c r="B43" s="28" t="s">
        <v>58</v>
      </c>
      <c r="C43" s="28"/>
      <c r="D43" s="28"/>
      <c r="E43" s="28"/>
      <c r="F43" s="36" t="s">
        <v>194</v>
      </c>
      <c r="G43" s="36">
        <v>2206</v>
      </c>
      <c r="H43" s="36">
        <v>2802</v>
      </c>
      <c r="I43" s="36">
        <v>3149</v>
      </c>
      <c r="J43" s="36">
        <v>3349</v>
      </c>
      <c r="K43" s="36">
        <v>3139</v>
      </c>
      <c r="L43" s="36">
        <v>3167</v>
      </c>
      <c r="M43" s="36">
        <v>2441</v>
      </c>
      <c r="N43" s="36">
        <v>1914</v>
      </c>
      <c r="O43" s="36">
        <v>1349</v>
      </c>
      <c r="P43" s="36">
        <v>1250</v>
      </c>
      <c r="Q43" s="36">
        <v>1352</v>
      </c>
      <c r="R43" s="36">
        <v>1094</v>
      </c>
      <c r="S43" s="36">
        <v>958</v>
      </c>
      <c r="T43" s="36">
        <v>943</v>
      </c>
      <c r="U43" s="36">
        <v>1048</v>
      </c>
      <c r="V43" s="36">
        <v>1079</v>
      </c>
      <c r="W43" s="36">
        <v>1239</v>
      </c>
      <c r="X43" s="36">
        <v>1129</v>
      </c>
      <c r="Y43" s="36">
        <v>1060</v>
      </c>
    </row>
    <row r="44" spans="1:25">
      <c r="A44" s="28">
        <v>40</v>
      </c>
      <c r="B44" s="28" t="s">
        <v>3</v>
      </c>
      <c r="C44" s="28"/>
      <c r="D44" s="28"/>
      <c r="E44" s="28"/>
      <c r="F44" s="36" t="s">
        <v>194</v>
      </c>
      <c r="G44" s="36" t="s">
        <v>194</v>
      </c>
      <c r="H44" s="36" t="s">
        <v>194</v>
      </c>
      <c r="I44" s="36" t="s">
        <v>194</v>
      </c>
      <c r="J44" s="36" t="s">
        <v>194</v>
      </c>
      <c r="K44" s="36" t="s">
        <v>194</v>
      </c>
      <c r="L44" s="36" t="s">
        <v>194</v>
      </c>
      <c r="M44" s="36" t="s">
        <v>194</v>
      </c>
      <c r="N44" s="36" t="s">
        <v>194</v>
      </c>
      <c r="O44" s="36" t="s">
        <v>194</v>
      </c>
      <c r="P44" s="36" t="s">
        <v>194</v>
      </c>
      <c r="Q44" s="36" t="s">
        <v>194</v>
      </c>
      <c r="R44" s="36">
        <v>1360</v>
      </c>
      <c r="S44" s="36">
        <v>1407</v>
      </c>
      <c r="T44" s="36">
        <v>1771</v>
      </c>
      <c r="U44" s="36">
        <v>1830</v>
      </c>
      <c r="V44" s="36">
        <v>2026</v>
      </c>
      <c r="W44" s="36">
        <v>2164</v>
      </c>
      <c r="X44" s="36">
        <v>2249</v>
      </c>
      <c r="Y44" s="36" t="s">
        <v>194</v>
      </c>
    </row>
    <row r="45" spans="1:25">
      <c r="A45" s="28">
        <v>352</v>
      </c>
      <c r="B45" s="28" t="s">
        <v>63</v>
      </c>
      <c r="C45" s="998">
        <v>538</v>
      </c>
      <c r="D45" s="998">
        <v>552</v>
      </c>
      <c r="E45" s="998">
        <v>821</v>
      </c>
      <c r="F45" s="36">
        <v>806</v>
      </c>
      <c r="G45" s="36">
        <v>1104</v>
      </c>
      <c r="H45" s="36">
        <v>496</v>
      </c>
      <c r="I45" s="36">
        <v>521</v>
      </c>
      <c r="J45" s="36">
        <v>468</v>
      </c>
      <c r="K45" s="36">
        <v>702</v>
      </c>
      <c r="L45" s="36">
        <v>890</v>
      </c>
      <c r="M45" s="36">
        <v>794</v>
      </c>
      <c r="N45" s="36">
        <v>491</v>
      </c>
      <c r="O45" s="36">
        <v>524</v>
      </c>
      <c r="P45" s="36">
        <v>619</v>
      </c>
      <c r="Q45" s="36">
        <v>423</v>
      </c>
      <c r="R45" s="36">
        <v>410</v>
      </c>
      <c r="S45" s="36">
        <v>426</v>
      </c>
      <c r="T45" s="36">
        <v>462</v>
      </c>
      <c r="U45" s="36">
        <v>454</v>
      </c>
      <c r="V45" s="36">
        <v>430</v>
      </c>
      <c r="W45" s="36">
        <v>432</v>
      </c>
      <c r="X45" s="36">
        <v>471</v>
      </c>
      <c r="Y45" s="36">
        <v>510</v>
      </c>
    </row>
    <row r="46" spans="1:25">
      <c r="A46" s="28">
        <v>315</v>
      </c>
      <c r="B46" s="28" t="s">
        <v>198</v>
      </c>
      <c r="C46" s="28"/>
      <c r="D46" s="28"/>
      <c r="E46" s="28"/>
      <c r="F46" s="36" t="s">
        <v>194</v>
      </c>
      <c r="G46" s="36" t="s">
        <v>194</v>
      </c>
      <c r="H46" s="36" t="s">
        <v>194</v>
      </c>
      <c r="I46" s="36" t="s">
        <v>194</v>
      </c>
      <c r="J46" s="36" t="s">
        <v>194</v>
      </c>
      <c r="K46" s="36" t="s">
        <v>194</v>
      </c>
      <c r="L46" s="36" t="s">
        <v>194</v>
      </c>
      <c r="M46" s="36" t="s">
        <v>194</v>
      </c>
      <c r="N46" s="36" t="s">
        <v>194</v>
      </c>
      <c r="O46" s="36" t="s">
        <v>194</v>
      </c>
      <c r="P46" s="36" t="s">
        <v>194</v>
      </c>
      <c r="Q46" s="36" t="s">
        <v>194</v>
      </c>
      <c r="R46" s="36" t="s">
        <v>194</v>
      </c>
      <c r="S46" s="36" t="s">
        <v>194</v>
      </c>
      <c r="T46" s="36" t="s">
        <v>194</v>
      </c>
      <c r="U46" s="36" t="s">
        <v>194</v>
      </c>
      <c r="V46" s="36" t="s">
        <v>194</v>
      </c>
      <c r="W46" s="36" t="s">
        <v>194</v>
      </c>
      <c r="X46" s="36" t="s">
        <v>194</v>
      </c>
      <c r="Y46" s="36" t="s">
        <v>194</v>
      </c>
    </row>
    <row r="47" spans="1:25">
      <c r="A47" s="28">
        <v>316</v>
      </c>
      <c r="B47" s="28" t="s">
        <v>51</v>
      </c>
      <c r="C47" s="28"/>
      <c r="D47" s="28"/>
      <c r="E47" s="28"/>
      <c r="F47" s="36" t="s">
        <v>194</v>
      </c>
      <c r="G47" s="36" t="s">
        <v>194</v>
      </c>
      <c r="H47" s="36">
        <v>2631</v>
      </c>
      <c r="I47" s="36">
        <v>2717</v>
      </c>
      <c r="J47" s="36">
        <v>2606</v>
      </c>
      <c r="K47" s="36">
        <v>2584</v>
      </c>
      <c r="L47" s="36">
        <v>2445</v>
      </c>
      <c r="M47" s="36">
        <v>2654</v>
      </c>
      <c r="N47" s="36">
        <v>2878</v>
      </c>
      <c r="O47" s="36">
        <v>2968</v>
      </c>
      <c r="P47" s="36">
        <v>2855</v>
      </c>
      <c r="Q47" s="36">
        <v>3051</v>
      </c>
      <c r="R47" s="36">
        <v>3314</v>
      </c>
      <c r="S47" s="36">
        <v>3180</v>
      </c>
      <c r="T47" s="36">
        <v>3477</v>
      </c>
      <c r="U47" s="36">
        <v>3212</v>
      </c>
      <c r="V47" s="36">
        <v>3098</v>
      </c>
      <c r="W47" s="36">
        <v>2641</v>
      </c>
      <c r="X47" s="36">
        <v>2719</v>
      </c>
      <c r="Y47" s="36">
        <v>2529</v>
      </c>
    </row>
    <row r="48" spans="1:25">
      <c r="A48" s="28">
        <v>390</v>
      </c>
      <c r="B48" s="28" t="s">
        <v>79</v>
      </c>
      <c r="C48" s="999">
        <v>4634</v>
      </c>
      <c r="D48" s="999">
        <v>4519</v>
      </c>
      <c r="E48" s="999">
        <v>4523</v>
      </c>
      <c r="F48" s="36">
        <v>4605</v>
      </c>
      <c r="G48" s="36">
        <v>4520</v>
      </c>
      <c r="H48" s="36">
        <v>4532</v>
      </c>
      <c r="I48" s="36">
        <v>4419</v>
      </c>
      <c r="J48" s="36">
        <v>4372</v>
      </c>
      <c r="K48" s="36">
        <v>4386</v>
      </c>
      <c r="L48" s="36">
        <v>4442</v>
      </c>
      <c r="M48" s="36">
        <v>4491</v>
      </c>
      <c r="N48" s="36">
        <v>4464</v>
      </c>
      <c r="O48" s="36">
        <v>4317</v>
      </c>
      <c r="P48" s="36">
        <v>4586</v>
      </c>
      <c r="Q48" s="36">
        <v>4530</v>
      </c>
      <c r="R48" s="36">
        <v>4396</v>
      </c>
      <c r="S48" s="36">
        <v>4421</v>
      </c>
      <c r="T48" s="36">
        <v>4213</v>
      </c>
      <c r="U48" s="36">
        <v>4606</v>
      </c>
      <c r="V48" s="36">
        <v>4442</v>
      </c>
      <c r="W48" s="36">
        <v>4614</v>
      </c>
      <c r="X48" s="36">
        <v>4337</v>
      </c>
      <c r="Y48" s="36">
        <v>4588</v>
      </c>
    </row>
    <row r="49" spans="1:16384">
      <c r="A49" s="28">
        <v>522</v>
      </c>
      <c r="B49" s="28" t="s">
        <v>111</v>
      </c>
      <c r="C49" s="922">
        <v>67.3</v>
      </c>
      <c r="D49" s="922">
        <v>65.400000000000006</v>
      </c>
      <c r="E49" s="922">
        <v>60.8</v>
      </c>
      <c r="F49" s="36">
        <v>58.1</v>
      </c>
      <c r="G49" s="36">
        <v>59.5</v>
      </c>
      <c r="H49" s="36">
        <v>52.6</v>
      </c>
      <c r="I49" s="36">
        <v>48.8</v>
      </c>
      <c r="J49" s="36">
        <v>44.9</v>
      </c>
      <c r="K49" s="36">
        <v>35.9</v>
      </c>
      <c r="L49" s="36">
        <v>37.9</v>
      </c>
      <c r="M49" s="36">
        <v>37.299999999999997</v>
      </c>
      <c r="N49" s="36">
        <v>37.4</v>
      </c>
      <c r="O49" s="36">
        <v>35.700000000000003</v>
      </c>
      <c r="P49" s="36">
        <v>35.1</v>
      </c>
      <c r="Q49" s="36">
        <v>44.6</v>
      </c>
      <c r="R49" s="36">
        <v>54.9</v>
      </c>
      <c r="S49" s="36">
        <v>47.6</v>
      </c>
      <c r="T49" s="36">
        <v>55.5</v>
      </c>
      <c r="U49" s="36">
        <v>59.2</v>
      </c>
      <c r="V49" s="36">
        <v>39.299999999999997</v>
      </c>
      <c r="W49" s="36">
        <v>36.9</v>
      </c>
      <c r="X49" s="36" t="s">
        <v>194</v>
      </c>
      <c r="Y49" s="36" t="s">
        <v>194</v>
      </c>
    </row>
    <row r="50" spans="1:16384">
      <c r="A50" s="28">
        <v>42</v>
      </c>
      <c r="B50" s="28" t="s">
        <v>5</v>
      </c>
      <c r="C50" s="952">
        <v>176</v>
      </c>
      <c r="D50" s="952">
        <v>146</v>
      </c>
      <c r="E50" s="952">
        <v>117</v>
      </c>
      <c r="F50" s="36">
        <v>129</v>
      </c>
      <c r="G50" s="36">
        <v>169</v>
      </c>
      <c r="H50" s="36">
        <v>214</v>
      </c>
      <c r="I50" s="36">
        <v>217</v>
      </c>
      <c r="J50" s="36">
        <v>164</v>
      </c>
      <c r="K50" s="36">
        <v>193</v>
      </c>
      <c r="L50" s="36">
        <v>261</v>
      </c>
      <c r="M50" s="36">
        <v>268</v>
      </c>
      <c r="N50" s="36">
        <v>278</v>
      </c>
      <c r="O50" s="36">
        <v>370</v>
      </c>
      <c r="P50" s="36">
        <v>443</v>
      </c>
      <c r="Q50" s="36">
        <v>499</v>
      </c>
      <c r="R50" s="36">
        <v>316</v>
      </c>
      <c r="S50" s="36">
        <v>239</v>
      </c>
      <c r="T50" s="36">
        <v>295</v>
      </c>
      <c r="U50" s="36">
        <v>280</v>
      </c>
      <c r="V50" s="36">
        <v>285</v>
      </c>
      <c r="W50" s="36">
        <v>327</v>
      </c>
      <c r="X50" s="36">
        <v>322</v>
      </c>
      <c r="Y50" s="36">
        <v>322</v>
      </c>
    </row>
    <row r="51" spans="1:16384">
      <c r="A51" s="28">
        <v>490</v>
      </c>
      <c r="B51" s="28" t="s">
        <v>104</v>
      </c>
      <c r="C51" s="28"/>
      <c r="D51" s="28"/>
      <c r="E51" s="28"/>
      <c r="F51" s="36" t="s">
        <v>194</v>
      </c>
      <c r="G51" s="36" t="s">
        <v>194</v>
      </c>
      <c r="H51" s="36" t="s">
        <v>194</v>
      </c>
      <c r="I51" s="36" t="s">
        <v>194</v>
      </c>
      <c r="J51" s="36" t="s">
        <v>194</v>
      </c>
      <c r="K51" s="36">
        <v>98.5</v>
      </c>
      <c r="L51" s="36">
        <v>81.099999999999994</v>
      </c>
      <c r="M51" s="36">
        <v>24.4</v>
      </c>
      <c r="N51" s="36">
        <v>88.9</v>
      </c>
      <c r="O51" s="36">
        <v>66.099999999999994</v>
      </c>
      <c r="P51" s="36" t="s">
        <v>194</v>
      </c>
      <c r="Q51" s="36" t="s">
        <v>194</v>
      </c>
      <c r="R51" s="36">
        <v>113</v>
      </c>
      <c r="S51" s="36">
        <v>187</v>
      </c>
      <c r="T51" s="36">
        <v>219</v>
      </c>
      <c r="U51" s="36">
        <v>238</v>
      </c>
      <c r="V51" s="36">
        <v>225</v>
      </c>
    </row>
    <row r="52" spans="1:16384">
      <c r="A52" s="28">
        <v>816</v>
      </c>
      <c r="B52" s="28" t="s">
        <v>171</v>
      </c>
      <c r="C52" s="984">
        <v>842</v>
      </c>
      <c r="D52" s="984">
        <v>1612</v>
      </c>
      <c r="E52" s="984">
        <v>1565</v>
      </c>
      <c r="F52" s="36">
        <v>1099</v>
      </c>
      <c r="G52" s="36">
        <v>693</v>
      </c>
      <c r="H52" s="36">
        <v>543</v>
      </c>
      <c r="I52" s="36">
        <v>741</v>
      </c>
      <c r="J52" s="36" t="s">
        <v>194</v>
      </c>
      <c r="K52" s="36" t="s">
        <v>194</v>
      </c>
      <c r="L52" s="36" t="s">
        <v>194</v>
      </c>
      <c r="M52" s="36" t="s">
        <v>194</v>
      </c>
      <c r="N52" s="36" t="s">
        <v>194</v>
      </c>
      <c r="O52" s="36" t="s">
        <v>194</v>
      </c>
      <c r="P52" s="36" t="s">
        <v>194</v>
      </c>
      <c r="Q52" s="36" t="s">
        <v>194</v>
      </c>
      <c r="R52" s="36">
        <v>1369</v>
      </c>
      <c r="S52" s="36">
        <v>1402</v>
      </c>
      <c r="T52" s="36">
        <v>1462</v>
      </c>
      <c r="U52" s="36">
        <v>1721</v>
      </c>
      <c r="V52" s="36">
        <v>2219</v>
      </c>
      <c r="W52" s="36">
        <v>2186</v>
      </c>
      <c r="X52" s="36">
        <v>2401</v>
      </c>
      <c r="Y52" s="36">
        <v>2410</v>
      </c>
    </row>
    <row r="53" spans="1:16384">
      <c r="A53" s="28">
        <v>130</v>
      </c>
      <c r="B53" s="28" t="s">
        <v>27</v>
      </c>
      <c r="C53" s="967">
        <v>405</v>
      </c>
      <c r="D53" s="967">
        <v>433</v>
      </c>
      <c r="E53" s="967">
        <v>459</v>
      </c>
      <c r="F53" s="36">
        <v>467</v>
      </c>
      <c r="G53" s="36">
        <v>432</v>
      </c>
      <c r="H53" s="36">
        <v>536</v>
      </c>
      <c r="I53" s="36">
        <v>488</v>
      </c>
      <c r="J53" s="36">
        <v>715</v>
      </c>
      <c r="K53" s="36">
        <v>599</v>
      </c>
      <c r="L53" s="36">
        <v>685</v>
      </c>
      <c r="M53" s="36">
        <v>754</v>
      </c>
      <c r="N53" s="36">
        <v>577</v>
      </c>
      <c r="O53" s="36">
        <v>562</v>
      </c>
      <c r="P53" s="36">
        <v>589</v>
      </c>
      <c r="Q53" s="36">
        <v>689</v>
      </c>
      <c r="R53" s="36">
        <v>934</v>
      </c>
      <c r="S53" s="36">
        <v>873</v>
      </c>
      <c r="T53" s="36">
        <v>1146</v>
      </c>
      <c r="U53" s="36">
        <v>1108</v>
      </c>
      <c r="V53" s="36">
        <v>1493</v>
      </c>
      <c r="W53" s="36">
        <v>1628</v>
      </c>
      <c r="X53" s="36">
        <v>1915</v>
      </c>
      <c r="Y53" s="36">
        <v>2116</v>
      </c>
    </row>
    <row r="54" spans="1:16384">
      <c r="A54" s="28">
        <v>651</v>
      </c>
      <c r="B54" s="28" t="s">
        <v>136</v>
      </c>
      <c r="C54" s="1021">
        <v>4781</v>
      </c>
      <c r="D54" s="1021">
        <v>3854</v>
      </c>
      <c r="E54" s="1021">
        <v>3796</v>
      </c>
      <c r="F54" s="36">
        <v>3820</v>
      </c>
      <c r="G54" s="36">
        <v>3854</v>
      </c>
      <c r="H54" s="36">
        <v>3775</v>
      </c>
      <c r="I54" s="36">
        <v>3747</v>
      </c>
      <c r="J54" s="36">
        <v>3522</v>
      </c>
      <c r="K54" s="36">
        <v>3315</v>
      </c>
      <c r="L54" s="36">
        <v>3363</v>
      </c>
      <c r="M54" s="36">
        <v>3592</v>
      </c>
      <c r="N54" s="36">
        <v>3648</v>
      </c>
      <c r="O54" s="36">
        <v>3900</v>
      </c>
      <c r="P54" s="36">
        <v>4169</v>
      </c>
      <c r="Q54" s="36">
        <v>4360</v>
      </c>
      <c r="R54" s="36">
        <v>4567</v>
      </c>
      <c r="S54" s="36">
        <v>4321</v>
      </c>
      <c r="T54" s="36">
        <v>4313</v>
      </c>
      <c r="U54" s="36">
        <v>4413</v>
      </c>
      <c r="V54" s="36">
        <v>4444</v>
      </c>
      <c r="W54" s="36">
        <v>4139</v>
      </c>
      <c r="X54" s="36">
        <v>4017</v>
      </c>
      <c r="Y54" s="36">
        <v>3914</v>
      </c>
    </row>
    <row r="55" spans="1:16384">
      <c r="A55" s="28">
        <v>411</v>
      </c>
      <c r="B55" s="28" t="s">
        <v>84</v>
      </c>
      <c r="C55" s="28"/>
      <c r="D55" s="28"/>
      <c r="E55" s="28"/>
      <c r="F55" s="36" t="s">
        <v>194</v>
      </c>
      <c r="G55" s="36" t="s">
        <v>194</v>
      </c>
      <c r="H55" s="36" t="s">
        <v>194</v>
      </c>
      <c r="I55" s="36">
        <v>7</v>
      </c>
      <c r="J55" s="36">
        <v>7.6</v>
      </c>
      <c r="K55" s="36" t="s">
        <v>194</v>
      </c>
      <c r="L55" s="36" t="s">
        <v>194</v>
      </c>
      <c r="M55" s="36" t="s">
        <v>194</v>
      </c>
      <c r="N55" s="36" t="s">
        <v>194</v>
      </c>
      <c r="O55" s="36" t="s">
        <v>194</v>
      </c>
      <c r="P55" s="36" t="s">
        <v>194</v>
      </c>
      <c r="Q55" s="36" t="s">
        <v>194</v>
      </c>
      <c r="R55" s="36" t="s">
        <v>194</v>
      </c>
      <c r="S55" s="36" t="s">
        <v>194</v>
      </c>
      <c r="T55" s="36" t="s">
        <v>194</v>
      </c>
      <c r="U55" s="36" t="s">
        <v>194</v>
      </c>
      <c r="V55" s="36" t="s">
        <v>194</v>
      </c>
      <c r="W55" s="36" t="s">
        <v>194</v>
      </c>
      <c r="X55" s="36" t="s">
        <v>194</v>
      </c>
      <c r="Y55" s="36" t="s">
        <v>194</v>
      </c>
    </row>
    <row r="56" spans="1:16384">
      <c r="A56" s="28">
        <v>531</v>
      </c>
      <c r="B56" s="28" t="s">
        <v>113</v>
      </c>
      <c r="C56" s="28"/>
      <c r="D56" s="28"/>
      <c r="E56" s="28"/>
      <c r="F56" s="36" t="s">
        <v>194</v>
      </c>
      <c r="G56" s="36" t="s">
        <v>194</v>
      </c>
      <c r="H56" s="36">
        <v>340</v>
      </c>
      <c r="I56" s="36">
        <v>245</v>
      </c>
      <c r="J56" s="36">
        <v>384</v>
      </c>
      <c r="K56" s="36">
        <v>437</v>
      </c>
      <c r="L56" s="36">
        <v>276</v>
      </c>
      <c r="M56" s="36">
        <v>770</v>
      </c>
      <c r="N56" s="36">
        <v>816</v>
      </c>
      <c r="O56" s="36">
        <v>679</v>
      </c>
      <c r="P56" s="36">
        <v>502</v>
      </c>
      <c r="Q56" s="36">
        <v>480</v>
      </c>
      <c r="R56" s="36">
        <v>469</v>
      </c>
      <c r="S56" s="36" t="s">
        <v>194</v>
      </c>
      <c r="T56" s="36" t="s">
        <v>194</v>
      </c>
      <c r="U56" s="36" t="s">
        <v>194</v>
      </c>
      <c r="V56" s="36" t="s">
        <v>194</v>
      </c>
      <c r="W56" s="36" t="s">
        <v>194</v>
      </c>
      <c r="X56" s="36" t="s">
        <v>194</v>
      </c>
      <c r="Y56" s="36" t="s">
        <v>194</v>
      </c>
    </row>
    <row r="57" spans="1:16384">
      <c r="A57" s="28">
        <v>366</v>
      </c>
      <c r="B57" s="28" t="s">
        <v>68</v>
      </c>
      <c r="C57" s="28"/>
      <c r="D57" s="28"/>
      <c r="E57" s="28"/>
      <c r="F57" s="36" t="s">
        <v>194</v>
      </c>
      <c r="G57" s="36">
        <v>50.4</v>
      </c>
      <c r="H57" s="36">
        <v>67.900000000000006</v>
      </c>
      <c r="I57" s="36">
        <v>86.4</v>
      </c>
      <c r="J57" s="36">
        <v>85.6</v>
      </c>
      <c r="K57" s="36">
        <v>83.3</v>
      </c>
      <c r="L57" s="36">
        <v>111</v>
      </c>
      <c r="M57" s="36">
        <v>118</v>
      </c>
      <c r="N57" s="36">
        <v>146</v>
      </c>
      <c r="O57" s="36">
        <v>173</v>
      </c>
      <c r="P57" s="36">
        <v>201</v>
      </c>
      <c r="Q57" s="36">
        <v>240</v>
      </c>
      <c r="R57" s="36">
        <v>278</v>
      </c>
      <c r="S57" s="36">
        <v>293</v>
      </c>
      <c r="T57" s="36">
        <v>365</v>
      </c>
      <c r="U57" s="36">
        <v>410</v>
      </c>
      <c r="V57" s="36">
        <v>498</v>
      </c>
      <c r="W57" s="36">
        <v>480</v>
      </c>
      <c r="X57" s="36">
        <v>437</v>
      </c>
      <c r="Y57" s="36">
        <v>336</v>
      </c>
    </row>
    <row r="58" spans="1:16384">
      <c r="A58" s="28">
        <v>530</v>
      </c>
      <c r="B58" s="28" t="s">
        <v>112</v>
      </c>
      <c r="C58" s="923">
        <v>637</v>
      </c>
      <c r="D58" s="923">
        <v>751</v>
      </c>
      <c r="E58" s="923">
        <v>718</v>
      </c>
      <c r="F58" s="36">
        <v>356</v>
      </c>
      <c r="G58" s="36">
        <v>211</v>
      </c>
      <c r="H58" s="36">
        <v>233</v>
      </c>
      <c r="I58" s="36">
        <v>215</v>
      </c>
      <c r="J58" s="36">
        <v>181</v>
      </c>
      <c r="K58" s="36">
        <v>203</v>
      </c>
      <c r="L58" s="36">
        <v>374</v>
      </c>
      <c r="M58" s="36">
        <v>786</v>
      </c>
      <c r="N58" s="36">
        <v>1247</v>
      </c>
      <c r="O58" s="36">
        <v>1125</v>
      </c>
      <c r="P58" s="36">
        <v>715</v>
      </c>
      <c r="Q58" s="36">
        <v>588</v>
      </c>
      <c r="R58" s="36">
        <v>484</v>
      </c>
      <c r="S58" s="36">
        <v>525</v>
      </c>
      <c r="T58" s="36">
        <v>519</v>
      </c>
      <c r="U58" s="36">
        <v>469</v>
      </c>
      <c r="V58" s="36">
        <v>429</v>
      </c>
      <c r="W58" s="36">
        <v>343</v>
      </c>
      <c r="X58" s="36">
        <v>340</v>
      </c>
      <c r="Y58" s="36">
        <v>338</v>
      </c>
    </row>
    <row r="59" spans="1:16384">
      <c r="A59" s="28">
        <v>860</v>
      </c>
      <c r="B59" s="28" t="s">
        <v>197</v>
      </c>
      <c r="C59" s="28"/>
      <c r="D59" s="28"/>
      <c r="E59" s="28"/>
      <c r="F59" s="36" t="s">
        <v>194</v>
      </c>
      <c r="G59" s="36" t="s">
        <v>194</v>
      </c>
      <c r="H59" s="36" t="s">
        <v>194</v>
      </c>
      <c r="I59" s="36" t="s">
        <v>194</v>
      </c>
      <c r="J59" s="36" t="s">
        <v>194</v>
      </c>
      <c r="K59" s="36" t="s">
        <v>194</v>
      </c>
      <c r="L59" s="36" t="s">
        <v>194</v>
      </c>
      <c r="M59" s="36" t="s">
        <v>194</v>
      </c>
      <c r="N59" s="36" t="s">
        <v>194</v>
      </c>
      <c r="O59" s="36" t="s">
        <v>194</v>
      </c>
      <c r="P59" s="36" t="s">
        <v>194</v>
      </c>
      <c r="Q59" s="36" t="s">
        <v>194</v>
      </c>
      <c r="R59" s="36" t="s">
        <v>194</v>
      </c>
      <c r="S59" s="36">
        <v>4.2</v>
      </c>
      <c r="T59" s="36">
        <v>10.4</v>
      </c>
      <c r="U59" s="36">
        <v>20.7</v>
      </c>
      <c r="V59" s="36">
        <v>26.1</v>
      </c>
      <c r="W59" s="36">
        <v>23.8</v>
      </c>
      <c r="X59" s="36">
        <v>38</v>
      </c>
      <c r="Y59" s="36">
        <v>18.600000000000001</v>
      </c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8"/>
      <c r="NH59" s="28"/>
      <c r="NI59" s="28"/>
      <c r="NJ59" s="28"/>
      <c r="NK59" s="28"/>
      <c r="NL59" s="28"/>
      <c r="NM59" s="28"/>
      <c r="NN59" s="28"/>
      <c r="NO59" s="28"/>
      <c r="NP59" s="28"/>
      <c r="NQ59" s="28"/>
      <c r="NR59" s="28"/>
      <c r="NS59" s="28"/>
      <c r="NT59" s="28"/>
      <c r="NU59" s="28"/>
      <c r="NV59" s="28"/>
      <c r="NW59" s="28"/>
      <c r="NX59" s="28"/>
      <c r="NY59" s="28"/>
      <c r="NZ59" s="28"/>
      <c r="OA59" s="28"/>
      <c r="OB59" s="28"/>
      <c r="OC59" s="28"/>
      <c r="OD59" s="28"/>
      <c r="OE59" s="28"/>
      <c r="OF59" s="28"/>
      <c r="OG59" s="28"/>
      <c r="OH59" s="28"/>
      <c r="OI59" s="28"/>
      <c r="OJ59" s="28"/>
      <c r="OK59" s="28"/>
      <c r="OL59" s="28"/>
      <c r="OM59" s="28"/>
      <c r="ON59" s="28"/>
      <c r="OO59" s="28"/>
      <c r="OP59" s="28"/>
      <c r="OQ59" s="28"/>
      <c r="OR59" s="28"/>
      <c r="OS59" s="28"/>
      <c r="OT59" s="28"/>
      <c r="OU59" s="28"/>
      <c r="OV59" s="28"/>
      <c r="OW59" s="28"/>
      <c r="OX59" s="28"/>
      <c r="OY59" s="28"/>
      <c r="OZ59" s="28"/>
      <c r="PA59" s="28"/>
      <c r="PB59" s="28"/>
      <c r="PC59" s="28"/>
      <c r="PD59" s="28"/>
      <c r="PE59" s="28"/>
      <c r="PF59" s="28"/>
      <c r="PG59" s="28"/>
      <c r="PH59" s="28"/>
      <c r="PI59" s="28"/>
      <c r="PJ59" s="28"/>
      <c r="PK59" s="28"/>
      <c r="PL59" s="28"/>
      <c r="PM59" s="28"/>
      <c r="PN59" s="28"/>
      <c r="PO59" s="28"/>
      <c r="PP59" s="28"/>
      <c r="PQ59" s="28"/>
      <c r="PR59" s="28"/>
      <c r="PS59" s="28"/>
      <c r="PT59" s="28"/>
      <c r="PU59" s="28"/>
      <c r="PV59" s="28"/>
      <c r="PW59" s="28"/>
      <c r="PX59" s="28"/>
      <c r="PY59" s="28"/>
      <c r="PZ59" s="28"/>
      <c r="QA59" s="28"/>
      <c r="QB59" s="28"/>
      <c r="QC59" s="28"/>
      <c r="QD59" s="28"/>
      <c r="QE59" s="28"/>
      <c r="QF59" s="28"/>
      <c r="QG59" s="28"/>
      <c r="QH59" s="28"/>
      <c r="QI59" s="28"/>
      <c r="QJ59" s="28"/>
      <c r="QK59" s="28"/>
      <c r="QL59" s="28"/>
      <c r="QM59" s="28"/>
      <c r="QN59" s="28"/>
      <c r="QO59" s="28"/>
      <c r="QP59" s="28"/>
      <c r="QQ59" s="28"/>
      <c r="QR59" s="28"/>
      <c r="QS59" s="28"/>
      <c r="QT59" s="28"/>
      <c r="QU59" s="28"/>
      <c r="QV59" s="28"/>
      <c r="QW59" s="28"/>
      <c r="QX59" s="28"/>
      <c r="QY59" s="28"/>
      <c r="QZ59" s="28"/>
      <c r="RA59" s="28"/>
      <c r="RB59" s="28"/>
      <c r="RC59" s="28"/>
      <c r="RD59" s="28"/>
      <c r="RE59" s="28"/>
      <c r="RF59" s="28"/>
      <c r="RG59" s="28"/>
      <c r="RH59" s="28"/>
      <c r="RI59" s="28"/>
      <c r="RJ59" s="28"/>
      <c r="RK59" s="28"/>
      <c r="RL59" s="28"/>
      <c r="RM59" s="28"/>
      <c r="RN59" s="28"/>
      <c r="RO59" s="28"/>
      <c r="RP59" s="28"/>
      <c r="RQ59" s="28"/>
      <c r="RR59" s="28"/>
      <c r="RS59" s="28"/>
      <c r="RT59" s="28"/>
      <c r="RU59" s="28"/>
      <c r="RV59" s="28"/>
      <c r="RW59" s="28"/>
      <c r="RX59" s="28"/>
      <c r="RY59" s="28"/>
      <c r="RZ59" s="28"/>
      <c r="SA59" s="28"/>
      <c r="SB59" s="28"/>
      <c r="SC59" s="28"/>
      <c r="SD59" s="28"/>
      <c r="SE59" s="28"/>
      <c r="SF59" s="28"/>
      <c r="SG59" s="28"/>
      <c r="SH59" s="28"/>
      <c r="SI59" s="28"/>
      <c r="SJ59" s="28"/>
      <c r="SK59" s="28"/>
      <c r="SL59" s="28"/>
      <c r="SM59" s="28"/>
      <c r="SN59" s="28"/>
      <c r="SO59" s="28"/>
      <c r="SP59" s="28"/>
      <c r="SQ59" s="28"/>
      <c r="SR59" s="28"/>
      <c r="SS59" s="28"/>
      <c r="ST59" s="28"/>
      <c r="SU59" s="28"/>
      <c r="SV59" s="28"/>
      <c r="SW59" s="28"/>
      <c r="SX59" s="28"/>
      <c r="SY59" s="28"/>
      <c r="SZ59" s="28"/>
      <c r="TA59" s="28"/>
      <c r="TB59" s="28"/>
      <c r="TC59" s="28"/>
      <c r="TD59" s="28"/>
      <c r="TE59" s="28"/>
      <c r="TF59" s="28"/>
      <c r="TG59" s="28"/>
      <c r="TH59" s="28"/>
      <c r="TI59" s="28"/>
      <c r="TJ59" s="28"/>
      <c r="TK59" s="28"/>
      <c r="TL59" s="28"/>
      <c r="TM59" s="28"/>
      <c r="TN59" s="28"/>
      <c r="TO59" s="28"/>
      <c r="TP59" s="28"/>
      <c r="TQ59" s="28"/>
      <c r="TR59" s="28"/>
      <c r="TS59" s="28"/>
      <c r="TT59" s="28"/>
      <c r="TU59" s="28"/>
      <c r="TV59" s="28"/>
      <c r="TW59" s="28"/>
      <c r="TX59" s="28"/>
      <c r="TY59" s="28"/>
      <c r="TZ59" s="28"/>
      <c r="UA59" s="28"/>
      <c r="UB59" s="28"/>
      <c r="UC59" s="28"/>
      <c r="UD59" s="28"/>
      <c r="UE59" s="28"/>
      <c r="UF59" s="28"/>
      <c r="UG59" s="28"/>
      <c r="UH59" s="28"/>
      <c r="UI59" s="28"/>
      <c r="UJ59" s="28"/>
      <c r="UK59" s="28"/>
      <c r="UL59" s="28"/>
      <c r="UM59" s="28"/>
      <c r="UN59" s="28"/>
      <c r="UO59" s="28"/>
      <c r="UP59" s="28"/>
      <c r="UQ59" s="28"/>
      <c r="UR59" s="28"/>
      <c r="US59" s="28"/>
      <c r="UT59" s="28"/>
      <c r="UU59" s="28"/>
      <c r="UV59" s="28"/>
      <c r="UW59" s="28"/>
      <c r="UX59" s="28"/>
      <c r="UY59" s="28"/>
      <c r="UZ59" s="28"/>
      <c r="VA59" s="28"/>
      <c r="VB59" s="28"/>
      <c r="VC59" s="28"/>
      <c r="VD59" s="28"/>
      <c r="VE59" s="28"/>
      <c r="VF59" s="28"/>
      <c r="VG59" s="28"/>
      <c r="VH59" s="28"/>
      <c r="VI59" s="28"/>
      <c r="VJ59" s="28"/>
      <c r="VK59" s="28"/>
      <c r="VL59" s="28"/>
      <c r="VM59" s="28"/>
      <c r="VN59" s="28"/>
      <c r="VO59" s="28"/>
      <c r="VP59" s="28"/>
      <c r="VQ59" s="28"/>
      <c r="VR59" s="28"/>
      <c r="VS59" s="28"/>
      <c r="VT59" s="28"/>
      <c r="VU59" s="28"/>
      <c r="VV59" s="28"/>
      <c r="VW59" s="28"/>
      <c r="VX59" s="28"/>
      <c r="VY59" s="28"/>
      <c r="VZ59" s="28"/>
      <c r="WA59" s="28"/>
      <c r="WB59" s="28"/>
      <c r="WC59" s="28"/>
      <c r="WD59" s="28"/>
      <c r="WE59" s="28"/>
      <c r="WF59" s="28"/>
      <c r="WG59" s="28"/>
      <c r="WH59" s="28"/>
      <c r="WI59" s="28"/>
      <c r="WJ59" s="28"/>
      <c r="WK59" s="28"/>
      <c r="WL59" s="28"/>
      <c r="WM59" s="28"/>
      <c r="WN59" s="28"/>
      <c r="WO59" s="28"/>
      <c r="WP59" s="28"/>
      <c r="WQ59" s="28"/>
      <c r="WR59" s="28"/>
      <c r="WS59" s="28"/>
      <c r="WT59" s="28"/>
      <c r="WU59" s="28"/>
      <c r="WV59" s="28"/>
      <c r="WW59" s="28"/>
      <c r="WX59" s="28"/>
      <c r="WY59" s="28"/>
      <c r="WZ59" s="28"/>
      <c r="XA59" s="28"/>
      <c r="XB59" s="28"/>
      <c r="XC59" s="28"/>
      <c r="XD59" s="28"/>
      <c r="XE59" s="28"/>
      <c r="XF59" s="28"/>
      <c r="XG59" s="28"/>
      <c r="XH59" s="28"/>
      <c r="XI59" s="28"/>
      <c r="XJ59" s="28"/>
      <c r="XK59" s="28"/>
      <c r="XL59" s="28"/>
      <c r="XM59" s="28"/>
      <c r="XN59" s="28"/>
      <c r="XO59" s="28"/>
      <c r="XP59" s="28"/>
      <c r="XQ59" s="28"/>
      <c r="XR59" s="28"/>
      <c r="XS59" s="28"/>
      <c r="XT59" s="28"/>
      <c r="XU59" s="28"/>
      <c r="XV59" s="28"/>
      <c r="XW59" s="28"/>
      <c r="XX59" s="28"/>
      <c r="XY59" s="28"/>
      <c r="XZ59" s="28"/>
      <c r="YA59" s="28"/>
      <c r="YB59" s="28"/>
      <c r="YC59" s="28"/>
      <c r="YD59" s="28"/>
      <c r="YE59" s="28"/>
      <c r="YF59" s="28"/>
      <c r="YG59" s="28"/>
      <c r="YH59" s="28"/>
      <c r="YI59" s="28"/>
      <c r="YJ59" s="28"/>
      <c r="YK59" s="28"/>
      <c r="YL59" s="28"/>
      <c r="YM59" s="28"/>
      <c r="YN59" s="28"/>
      <c r="YO59" s="28"/>
      <c r="YP59" s="28"/>
      <c r="YQ59" s="28"/>
      <c r="YR59" s="28"/>
      <c r="YS59" s="28"/>
      <c r="YT59" s="28"/>
      <c r="YU59" s="28"/>
      <c r="YV59" s="28"/>
      <c r="YW59" s="28"/>
      <c r="YX59" s="28"/>
      <c r="YY59" s="28"/>
      <c r="YZ59" s="28"/>
      <c r="ZA59" s="28"/>
      <c r="ZB59" s="28"/>
      <c r="ZC59" s="28"/>
      <c r="ZD59" s="28"/>
      <c r="ZE59" s="28"/>
      <c r="ZF59" s="28"/>
      <c r="ZG59" s="28"/>
      <c r="ZH59" s="28"/>
      <c r="ZI59" s="28"/>
      <c r="ZJ59" s="28"/>
      <c r="ZK59" s="28"/>
      <c r="ZL59" s="28"/>
      <c r="ZM59" s="28"/>
      <c r="ZN59" s="28"/>
      <c r="ZO59" s="28"/>
      <c r="ZP59" s="28"/>
      <c r="ZQ59" s="28"/>
      <c r="ZR59" s="28"/>
      <c r="ZS59" s="28"/>
      <c r="ZT59" s="28"/>
      <c r="ZU59" s="28"/>
      <c r="ZV59" s="28"/>
      <c r="ZW59" s="28"/>
      <c r="ZX59" s="28"/>
      <c r="ZY59" s="28"/>
      <c r="ZZ59" s="28"/>
      <c r="AAA59" s="28"/>
      <c r="AAB59" s="28"/>
      <c r="AAC59" s="28"/>
      <c r="AAD59" s="28"/>
      <c r="AAE59" s="28"/>
      <c r="AAF59" s="28"/>
      <c r="AAG59" s="28"/>
      <c r="AAH59" s="28"/>
      <c r="AAI59" s="28"/>
      <c r="AAJ59" s="28"/>
      <c r="AAK59" s="28"/>
      <c r="AAL59" s="28"/>
      <c r="AAM59" s="28"/>
      <c r="AAN59" s="28"/>
      <c r="AAO59" s="28"/>
      <c r="AAP59" s="28"/>
      <c r="AAQ59" s="28"/>
      <c r="AAR59" s="28"/>
      <c r="AAS59" s="28"/>
      <c r="AAT59" s="28"/>
      <c r="AAU59" s="28"/>
      <c r="AAV59" s="28"/>
      <c r="AAW59" s="28"/>
      <c r="AAX59" s="28"/>
      <c r="AAY59" s="28"/>
      <c r="AAZ59" s="28"/>
      <c r="ABA59" s="28"/>
      <c r="ABB59" s="28"/>
      <c r="ABC59" s="28"/>
      <c r="ABD59" s="28"/>
      <c r="ABE59" s="28"/>
      <c r="ABF59" s="28"/>
      <c r="ABG59" s="28"/>
      <c r="ABH59" s="28"/>
      <c r="ABI59" s="28"/>
      <c r="ABJ59" s="28"/>
      <c r="ABK59" s="28"/>
      <c r="ABL59" s="28"/>
      <c r="ABM59" s="28"/>
      <c r="ABN59" s="28"/>
      <c r="ABO59" s="28"/>
      <c r="ABP59" s="28"/>
      <c r="ABQ59" s="28"/>
      <c r="ABR59" s="28"/>
      <c r="ABS59" s="28"/>
      <c r="ABT59" s="28"/>
      <c r="ABU59" s="28"/>
      <c r="ABV59" s="28"/>
      <c r="ABW59" s="28"/>
      <c r="ABX59" s="28"/>
      <c r="ABY59" s="28"/>
      <c r="ABZ59" s="28"/>
      <c r="ACA59" s="28"/>
      <c r="ACB59" s="28"/>
      <c r="ACC59" s="28"/>
      <c r="ACD59" s="28"/>
      <c r="ACE59" s="28"/>
      <c r="ACF59" s="28"/>
      <c r="ACG59" s="28"/>
      <c r="ACH59" s="28"/>
      <c r="ACI59" s="28"/>
      <c r="ACJ59" s="28"/>
      <c r="ACK59" s="28"/>
      <c r="ACL59" s="28"/>
      <c r="ACM59" s="28"/>
      <c r="ACN59" s="28"/>
      <c r="ACO59" s="28"/>
      <c r="ACP59" s="28"/>
      <c r="ACQ59" s="28"/>
      <c r="ACR59" s="28"/>
      <c r="ACS59" s="28"/>
      <c r="ACT59" s="28"/>
      <c r="ACU59" s="28"/>
      <c r="ACV59" s="28"/>
      <c r="ACW59" s="28"/>
      <c r="ACX59" s="28"/>
      <c r="ACY59" s="28"/>
      <c r="ACZ59" s="28"/>
      <c r="ADA59" s="28"/>
      <c r="ADB59" s="28"/>
      <c r="ADC59" s="28"/>
      <c r="ADD59" s="28"/>
      <c r="ADE59" s="28"/>
      <c r="ADF59" s="28"/>
      <c r="ADG59" s="28"/>
      <c r="ADH59" s="28"/>
      <c r="ADI59" s="28"/>
      <c r="ADJ59" s="28"/>
      <c r="ADK59" s="28"/>
      <c r="ADL59" s="28"/>
      <c r="ADM59" s="28"/>
      <c r="ADN59" s="28"/>
      <c r="ADO59" s="28"/>
      <c r="ADP59" s="28"/>
      <c r="ADQ59" s="28"/>
      <c r="ADR59" s="28"/>
      <c r="ADS59" s="28"/>
      <c r="ADT59" s="28"/>
      <c r="ADU59" s="28"/>
      <c r="ADV59" s="28"/>
      <c r="ADW59" s="28"/>
      <c r="ADX59" s="28"/>
      <c r="ADY59" s="28"/>
      <c r="ADZ59" s="28"/>
      <c r="AEA59" s="28"/>
      <c r="AEB59" s="28"/>
      <c r="AEC59" s="28"/>
      <c r="AED59" s="28"/>
      <c r="AEE59" s="28"/>
      <c r="AEF59" s="28"/>
      <c r="AEG59" s="28"/>
      <c r="AEH59" s="28"/>
      <c r="AEI59" s="28"/>
      <c r="AEJ59" s="28"/>
      <c r="AEK59" s="28"/>
      <c r="AEL59" s="28"/>
      <c r="AEM59" s="28"/>
      <c r="AEN59" s="28"/>
      <c r="AEO59" s="28"/>
      <c r="AEP59" s="28"/>
      <c r="AEQ59" s="28"/>
      <c r="AER59" s="28"/>
      <c r="AES59" s="28"/>
      <c r="AET59" s="28"/>
      <c r="AEU59" s="28"/>
      <c r="AEV59" s="28"/>
      <c r="AEW59" s="28"/>
      <c r="AEX59" s="28"/>
      <c r="AEY59" s="28"/>
      <c r="AEZ59" s="28"/>
      <c r="AFA59" s="28"/>
      <c r="AFB59" s="28"/>
      <c r="AFC59" s="28"/>
      <c r="AFD59" s="28"/>
      <c r="AFE59" s="28"/>
      <c r="AFF59" s="28"/>
      <c r="AFG59" s="28"/>
      <c r="AFH59" s="28"/>
      <c r="AFI59" s="28"/>
      <c r="AFJ59" s="28"/>
      <c r="AFK59" s="28"/>
      <c r="AFL59" s="28"/>
      <c r="AFM59" s="28"/>
      <c r="AFN59" s="28"/>
      <c r="AFO59" s="28"/>
      <c r="AFP59" s="28"/>
      <c r="AFQ59" s="28"/>
      <c r="AFR59" s="28"/>
      <c r="AFS59" s="28"/>
      <c r="AFT59" s="28"/>
      <c r="AFU59" s="28"/>
      <c r="AFV59" s="28"/>
      <c r="AFW59" s="28"/>
      <c r="AFX59" s="28"/>
      <c r="AFY59" s="28"/>
      <c r="AFZ59" s="28"/>
      <c r="AGA59" s="28"/>
      <c r="AGB59" s="28"/>
      <c r="AGC59" s="28"/>
      <c r="AGD59" s="28"/>
      <c r="AGE59" s="28"/>
      <c r="AGF59" s="28"/>
      <c r="AGG59" s="28"/>
      <c r="AGH59" s="28"/>
      <c r="AGI59" s="28"/>
      <c r="AGJ59" s="28"/>
      <c r="AGK59" s="28"/>
      <c r="AGL59" s="28"/>
      <c r="AGM59" s="28"/>
      <c r="AGN59" s="28"/>
      <c r="AGO59" s="28"/>
      <c r="AGP59" s="28"/>
      <c r="AGQ59" s="28"/>
      <c r="AGR59" s="28"/>
      <c r="AGS59" s="28"/>
      <c r="AGT59" s="28"/>
      <c r="AGU59" s="28"/>
      <c r="AGV59" s="28"/>
      <c r="AGW59" s="28"/>
      <c r="AGX59" s="28"/>
      <c r="AGY59" s="28"/>
      <c r="AGZ59" s="28"/>
      <c r="AHA59" s="28"/>
      <c r="AHB59" s="28"/>
      <c r="AHC59" s="28"/>
      <c r="AHD59" s="28"/>
      <c r="AHE59" s="28"/>
      <c r="AHF59" s="28"/>
      <c r="AHG59" s="28"/>
      <c r="AHH59" s="28"/>
      <c r="AHI59" s="28"/>
      <c r="AHJ59" s="28"/>
      <c r="AHK59" s="28"/>
      <c r="AHL59" s="28"/>
      <c r="AHM59" s="28"/>
      <c r="AHN59" s="28"/>
      <c r="AHO59" s="28"/>
      <c r="AHP59" s="28"/>
      <c r="AHQ59" s="28"/>
      <c r="AHR59" s="28"/>
      <c r="AHS59" s="28"/>
      <c r="AHT59" s="28"/>
      <c r="AHU59" s="28"/>
      <c r="AHV59" s="28"/>
      <c r="AHW59" s="28"/>
      <c r="AHX59" s="28"/>
      <c r="AHY59" s="28"/>
      <c r="AHZ59" s="28"/>
      <c r="AIA59" s="28"/>
      <c r="AIB59" s="28"/>
      <c r="AIC59" s="28"/>
      <c r="AID59" s="28"/>
      <c r="AIE59" s="28"/>
      <c r="AIF59" s="28"/>
      <c r="AIG59" s="28"/>
      <c r="AIH59" s="28"/>
      <c r="AII59" s="28"/>
      <c r="AIJ59" s="28"/>
      <c r="AIK59" s="28"/>
      <c r="AIL59" s="28"/>
      <c r="AIM59" s="28"/>
      <c r="AIN59" s="28"/>
      <c r="AIO59" s="28"/>
      <c r="AIP59" s="28"/>
      <c r="AIQ59" s="28"/>
      <c r="AIR59" s="28"/>
      <c r="AIS59" s="28"/>
      <c r="AIT59" s="28"/>
      <c r="AIU59" s="28"/>
      <c r="AIV59" s="28"/>
      <c r="AIW59" s="28"/>
      <c r="AIX59" s="28"/>
      <c r="AIY59" s="28"/>
      <c r="AIZ59" s="28"/>
      <c r="AJA59" s="28"/>
      <c r="AJB59" s="28"/>
      <c r="AJC59" s="28"/>
      <c r="AJD59" s="28"/>
      <c r="AJE59" s="28"/>
      <c r="AJF59" s="28"/>
      <c r="AJG59" s="28"/>
      <c r="AJH59" s="28"/>
      <c r="AJI59" s="28"/>
      <c r="AJJ59" s="28"/>
      <c r="AJK59" s="28"/>
      <c r="AJL59" s="28"/>
      <c r="AJM59" s="28"/>
      <c r="AJN59" s="28"/>
      <c r="AJO59" s="28"/>
      <c r="AJP59" s="28"/>
      <c r="AJQ59" s="28"/>
      <c r="AJR59" s="28"/>
      <c r="AJS59" s="28"/>
      <c r="AJT59" s="28"/>
      <c r="AJU59" s="28"/>
      <c r="AJV59" s="28"/>
      <c r="AJW59" s="28"/>
      <c r="AJX59" s="28"/>
      <c r="AJY59" s="28"/>
      <c r="AJZ59" s="28"/>
      <c r="AKA59" s="28"/>
      <c r="AKB59" s="28"/>
      <c r="AKC59" s="28"/>
      <c r="AKD59" s="28"/>
      <c r="AKE59" s="28"/>
      <c r="AKF59" s="28"/>
      <c r="AKG59" s="28"/>
      <c r="AKH59" s="28"/>
      <c r="AKI59" s="28"/>
      <c r="AKJ59" s="28"/>
      <c r="AKK59" s="28"/>
      <c r="AKL59" s="28"/>
      <c r="AKM59" s="28"/>
      <c r="AKN59" s="28"/>
      <c r="AKO59" s="28"/>
      <c r="AKP59" s="28"/>
      <c r="AKQ59" s="28"/>
      <c r="AKR59" s="28"/>
      <c r="AKS59" s="28"/>
      <c r="AKT59" s="28"/>
      <c r="AKU59" s="28"/>
      <c r="AKV59" s="28"/>
      <c r="AKW59" s="28"/>
      <c r="AKX59" s="28"/>
      <c r="AKY59" s="28"/>
      <c r="AKZ59" s="28"/>
      <c r="ALA59" s="28"/>
      <c r="ALB59" s="28"/>
      <c r="ALC59" s="28"/>
      <c r="ALD59" s="28"/>
      <c r="ALE59" s="28"/>
      <c r="ALF59" s="28"/>
      <c r="ALG59" s="28"/>
      <c r="ALH59" s="28"/>
      <c r="ALI59" s="28"/>
      <c r="ALJ59" s="28"/>
      <c r="ALK59" s="28"/>
      <c r="ALL59" s="28"/>
      <c r="ALM59" s="28"/>
      <c r="ALN59" s="28"/>
      <c r="ALO59" s="28"/>
      <c r="ALP59" s="28"/>
      <c r="ALQ59" s="28"/>
      <c r="ALR59" s="28"/>
      <c r="ALS59" s="28"/>
      <c r="ALT59" s="28"/>
      <c r="ALU59" s="28"/>
      <c r="ALV59" s="28"/>
      <c r="ALW59" s="28"/>
      <c r="ALX59" s="28"/>
      <c r="ALY59" s="28"/>
      <c r="ALZ59" s="28"/>
      <c r="AMA59" s="28"/>
      <c r="AMB59" s="28"/>
      <c r="AMC59" s="28"/>
      <c r="AMD59" s="28"/>
      <c r="AME59" s="28"/>
      <c r="AMF59" s="28"/>
      <c r="AMG59" s="28"/>
      <c r="AMH59" s="28"/>
      <c r="AMI59" s="28"/>
      <c r="AMJ59" s="28"/>
      <c r="AMK59" s="28"/>
      <c r="AML59" s="28"/>
      <c r="AMM59" s="28"/>
      <c r="AMN59" s="28"/>
      <c r="AMO59" s="28"/>
      <c r="AMP59" s="28"/>
      <c r="AMQ59" s="28"/>
      <c r="AMR59" s="28"/>
      <c r="AMS59" s="28"/>
      <c r="AMT59" s="28"/>
      <c r="AMU59" s="28"/>
      <c r="AMV59" s="28"/>
      <c r="AMW59" s="28"/>
      <c r="AMX59" s="28"/>
      <c r="AMY59" s="28"/>
      <c r="AMZ59" s="28"/>
      <c r="ANA59" s="28"/>
      <c r="ANB59" s="28"/>
      <c r="ANC59" s="28"/>
      <c r="AND59" s="28"/>
      <c r="ANE59" s="28"/>
      <c r="ANF59" s="28"/>
      <c r="ANG59" s="28"/>
      <c r="ANH59" s="28"/>
      <c r="ANI59" s="28"/>
      <c r="ANJ59" s="28"/>
      <c r="ANK59" s="28"/>
      <c r="ANL59" s="28"/>
      <c r="ANM59" s="28"/>
      <c r="ANN59" s="28"/>
      <c r="ANO59" s="28"/>
      <c r="ANP59" s="28"/>
      <c r="ANQ59" s="28"/>
      <c r="ANR59" s="28"/>
      <c r="ANS59" s="28"/>
      <c r="ANT59" s="28"/>
      <c r="ANU59" s="28"/>
      <c r="ANV59" s="28"/>
      <c r="ANW59" s="28"/>
      <c r="ANX59" s="28"/>
      <c r="ANY59" s="28"/>
      <c r="ANZ59" s="28"/>
      <c r="AOA59" s="28"/>
      <c r="AOB59" s="28"/>
      <c r="AOC59" s="28"/>
      <c r="AOD59" s="28"/>
      <c r="AOE59" s="28"/>
      <c r="AOF59" s="28"/>
      <c r="AOG59" s="28"/>
      <c r="AOH59" s="28"/>
      <c r="AOI59" s="28"/>
      <c r="AOJ59" s="28"/>
      <c r="AOK59" s="28"/>
      <c r="AOL59" s="28"/>
      <c r="AOM59" s="28"/>
      <c r="AON59" s="28"/>
      <c r="AOO59" s="28"/>
      <c r="AOP59" s="28"/>
      <c r="AOQ59" s="28"/>
      <c r="AOR59" s="28"/>
      <c r="AOS59" s="28"/>
      <c r="AOT59" s="28"/>
      <c r="AOU59" s="28"/>
      <c r="AOV59" s="28"/>
      <c r="AOW59" s="28"/>
      <c r="AOX59" s="28"/>
      <c r="AOY59" s="28"/>
      <c r="AOZ59" s="28"/>
      <c r="APA59" s="28"/>
      <c r="APB59" s="28"/>
      <c r="APC59" s="28"/>
      <c r="APD59" s="28"/>
      <c r="APE59" s="28"/>
      <c r="APF59" s="28"/>
      <c r="APG59" s="28"/>
      <c r="APH59" s="28"/>
      <c r="API59" s="28"/>
      <c r="APJ59" s="28"/>
      <c r="APK59" s="28"/>
      <c r="APL59" s="28"/>
      <c r="APM59" s="28"/>
      <c r="APN59" s="28"/>
      <c r="APO59" s="28"/>
      <c r="APP59" s="28"/>
      <c r="APQ59" s="28"/>
      <c r="APR59" s="28"/>
      <c r="APS59" s="28"/>
      <c r="APT59" s="28"/>
      <c r="APU59" s="28"/>
      <c r="APV59" s="28"/>
      <c r="APW59" s="28"/>
      <c r="APX59" s="28"/>
      <c r="APY59" s="28"/>
      <c r="APZ59" s="28"/>
      <c r="AQA59" s="28"/>
      <c r="AQB59" s="28"/>
      <c r="AQC59" s="28"/>
      <c r="AQD59" s="28"/>
      <c r="AQE59" s="28"/>
      <c r="AQF59" s="28"/>
      <c r="AQG59" s="28"/>
      <c r="AQH59" s="28"/>
      <c r="AQI59" s="28"/>
      <c r="AQJ59" s="28"/>
      <c r="AQK59" s="28"/>
      <c r="AQL59" s="28"/>
      <c r="AQM59" s="28"/>
      <c r="AQN59" s="28"/>
      <c r="AQO59" s="28"/>
      <c r="AQP59" s="28"/>
      <c r="AQQ59" s="28"/>
      <c r="AQR59" s="28"/>
      <c r="AQS59" s="28"/>
      <c r="AQT59" s="28"/>
      <c r="AQU59" s="28"/>
      <c r="AQV59" s="28"/>
      <c r="AQW59" s="28"/>
      <c r="AQX59" s="28"/>
      <c r="AQY59" s="28"/>
      <c r="AQZ59" s="28"/>
      <c r="ARA59" s="28"/>
      <c r="ARB59" s="28"/>
      <c r="ARC59" s="28"/>
      <c r="ARD59" s="28"/>
      <c r="ARE59" s="28"/>
      <c r="ARF59" s="28"/>
      <c r="ARG59" s="28"/>
      <c r="ARH59" s="28"/>
      <c r="ARI59" s="28"/>
      <c r="ARJ59" s="28"/>
      <c r="ARK59" s="28"/>
      <c r="ARL59" s="28"/>
      <c r="ARM59" s="28"/>
      <c r="ARN59" s="28"/>
      <c r="ARO59" s="28"/>
      <c r="ARP59" s="28"/>
      <c r="ARQ59" s="28"/>
      <c r="ARR59" s="28"/>
      <c r="ARS59" s="28"/>
      <c r="ART59" s="28"/>
      <c r="ARU59" s="28"/>
      <c r="ARV59" s="28"/>
      <c r="ARW59" s="28"/>
      <c r="ARX59" s="28"/>
      <c r="ARY59" s="28"/>
      <c r="ARZ59" s="28"/>
      <c r="ASA59" s="28"/>
      <c r="ASB59" s="28"/>
      <c r="ASC59" s="28"/>
      <c r="ASD59" s="28"/>
      <c r="ASE59" s="28"/>
      <c r="ASF59" s="28"/>
      <c r="ASG59" s="28"/>
      <c r="ASH59" s="28"/>
      <c r="ASI59" s="28"/>
      <c r="ASJ59" s="28"/>
      <c r="ASK59" s="28"/>
      <c r="ASL59" s="28"/>
      <c r="ASM59" s="28"/>
      <c r="ASN59" s="28"/>
      <c r="ASO59" s="28"/>
      <c r="ASP59" s="28"/>
      <c r="ASQ59" s="28"/>
      <c r="ASR59" s="28"/>
      <c r="ASS59" s="28"/>
      <c r="AST59" s="28"/>
      <c r="ASU59" s="28"/>
      <c r="ASV59" s="28"/>
      <c r="ASW59" s="28"/>
      <c r="ASX59" s="28"/>
      <c r="ASY59" s="28"/>
      <c r="ASZ59" s="28"/>
      <c r="ATA59" s="28"/>
      <c r="ATB59" s="28"/>
      <c r="ATC59" s="28"/>
      <c r="ATD59" s="28"/>
      <c r="ATE59" s="28"/>
      <c r="ATF59" s="28"/>
      <c r="ATG59" s="28"/>
      <c r="ATH59" s="28"/>
      <c r="ATI59" s="28"/>
      <c r="ATJ59" s="28"/>
      <c r="ATK59" s="28"/>
      <c r="ATL59" s="28"/>
      <c r="ATM59" s="28"/>
      <c r="ATN59" s="28"/>
      <c r="ATO59" s="28"/>
      <c r="ATP59" s="28"/>
      <c r="ATQ59" s="28"/>
      <c r="ATR59" s="28"/>
      <c r="ATS59" s="28"/>
      <c r="ATT59" s="28"/>
      <c r="ATU59" s="28"/>
      <c r="ATV59" s="28"/>
      <c r="ATW59" s="28"/>
      <c r="ATX59" s="28"/>
      <c r="ATY59" s="28"/>
      <c r="ATZ59" s="28"/>
      <c r="AUA59" s="28"/>
      <c r="AUB59" s="28"/>
      <c r="AUC59" s="28"/>
      <c r="AUD59" s="28"/>
      <c r="AUE59" s="28"/>
      <c r="AUF59" s="28"/>
      <c r="AUG59" s="28"/>
      <c r="AUH59" s="28"/>
      <c r="AUI59" s="28"/>
      <c r="AUJ59" s="28"/>
      <c r="AUK59" s="28"/>
      <c r="AUL59" s="28"/>
      <c r="AUM59" s="28"/>
      <c r="AUN59" s="28"/>
      <c r="AUO59" s="28"/>
      <c r="AUP59" s="28"/>
      <c r="AUQ59" s="28"/>
      <c r="AUR59" s="28"/>
      <c r="AUS59" s="28"/>
      <c r="AUT59" s="28"/>
      <c r="AUU59" s="28"/>
      <c r="AUV59" s="28"/>
      <c r="AUW59" s="28"/>
      <c r="AUX59" s="28"/>
      <c r="AUY59" s="28"/>
      <c r="AUZ59" s="28"/>
      <c r="AVA59" s="28"/>
      <c r="AVB59" s="28"/>
      <c r="AVC59" s="28"/>
      <c r="AVD59" s="28"/>
      <c r="AVE59" s="28"/>
      <c r="AVF59" s="28"/>
      <c r="AVG59" s="28"/>
      <c r="AVH59" s="28"/>
      <c r="AVI59" s="28"/>
      <c r="AVJ59" s="28"/>
      <c r="AVK59" s="28"/>
      <c r="AVL59" s="28"/>
      <c r="AVM59" s="28"/>
      <c r="AVN59" s="28"/>
      <c r="AVO59" s="28"/>
      <c r="AVP59" s="28"/>
      <c r="AVQ59" s="28"/>
      <c r="AVR59" s="28"/>
      <c r="AVS59" s="28"/>
      <c r="AVT59" s="28"/>
      <c r="AVU59" s="28"/>
      <c r="AVV59" s="28"/>
      <c r="AVW59" s="28"/>
      <c r="AVX59" s="28"/>
      <c r="AVY59" s="28"/>
      <c r="AVZ59" s="28"/>
      <c r="AWA59" s="28"/>
      <c r="AWB59" s="28"/>
      <c r="AWC59" s="28"/>
      <c r="AWD59" s="28"/>
      <c r="AWE59" s="28"/>
      <c r="AWF59" s="28"/>
      <c r="AWG59" s="28"/>
      <c r="AWH59" s="28"/>
      <c r="AWI59" s="28"/>
      <c r="AWJ59" s="28"/>
      <c r="AWK59" s="28"/>
      <c r="AWL59" s="28"/>
      <c r="AWM59" s="28"/>
      <c r="AWN59" s="28"/>
      <c r="AWO59" s="28"/>
      <c r="AWP59" s="28"/>
      <c r="AWQ59" s="28"/>
      <c r="AWR59" s="28"/>
      <c r="AWS59" s="28"/>
      <c r="AWT59" s="28"/>
      <c r="AWU59" s="28"/>
      <c r="AWV59" s="28"/>
      <c r="AWW59" s="28"/>
      <c r="AWX59" s="28"/>
      <c r="AWY59" s="28"/>
      <c r="AWZ59" s="28"/>
      <c r="AXA59" s="28"/>
      <c r="AXB59" s="28"/>
      <c r="AXC59" s="28"/>
      <c r="AXD59" s="28"/>
      <c r="AXE59" s="28"/>
      <c r="AXF59" s="28"/>
      <c r="AXG59" s="28"/>
      <c r="AXH59" s="28"/>
      <c r="AXI59" s="28"/>
      <c r="AXJ59" s="28"/>
      <c r="AXK59" s="28"/>
      <c r="AXL59" s="28"/>
      <c r="AXM59" s="28"/>
      <c r="AXN59" s="28"/>
      <c r="AXO59" s="28"/>
      <c r="AXP59" s="28"/>
      <c r="AXQ59" s="28"/>
      <c r="AXR59" s="28"/>
      <c r="AXS59" s="28"/>
      <c r="AXT59" s="28"/>
      <c r="AXU59" s="28"/>
      <c r="AXV59" s="28"/>
      <c r="AXW59" s="28"/>
      <c r="AXX59" s="28"/>
      <c r="AXY59" s="28"/>
      <c r="AXZ59" s="28"/>
      <c r="AYA59" s="28"/>
      <c r="AYB59" s="28"/>
      <c r="AYC59" s="28"/>
      <c r="AYD59" s="28"/>
      <c r="AYE59" s="28"/>
      <c r="AYF59" s="28"/>
      <c r="AYG59" s="28"/>
      <c r="AYH59" s="28"/>
      <c r="AYI59" s="28"/>
      <c r="AYJ59" s="28"/>
      <c r="AYK59" s="28"/>
      <c r="AYL59" s="28"/>
      <c r="AYM59" s="28"/>
      <c r="AYN59" s="28"/>
      <c r="AYO59" s="28"/>
      <c r="AYP59" s="28"/>
      <c r="AYQ59" s="28"/>
      <c r="AYR59" s="28"/>
      <c r="AYS59" s="28"/>
      <c r="AYT59" s="28"/>
      <c r="AYU59" s="28"/>
      <c r="AYV59" s="28"/>
      <c r="AYW59" s="28"/>
      <c r="AYX59" s="28"/>
      <c r="AYY59" s="28"/>
      <c r="AYZ59" s="28"/>
      <c r="AZA59" s="28"/>
      <c r="AZB59" s="28"/>
      <c r="AZC59" s="28"/>
      <c r="AZD59" s="28"/>
      <c r="AZE59" s="28"/>
      <c r="AZF59" s="28"/>
      <c r="AZG59" s="28"/>
      <c r="AZH59" s="28"/>
      <c r="AZI59" s="28"/>
      <c r="AZJ59" s="28"/>
      <c r="AZK59" s="28"/>
      <c r="AZL59" s="28"/>
      <c r="AZM59" s="28"/>
      <c r="AZN59" s="28"/>
      <c r="AZO59" s="28"/>
      <c r="AZP59" s="28"/>
      <c r="AZQ59" s="28"/>
      <c r="AZR59" s="28"/>
      <c r="AZS59" s="28"/>
      <c r="AZT59" s="28"/>
      <c r="AZU59" s="28"/>
      <c r="AZV59" s="28"/>
      <c r="AZW59" s="28"/>
      <c r="AZX59" s="28"/>
      <c r="AZY59" s="28"/>
      <c r="AZZ59" s="28"/>
      <c r="BAA59" s="28"/>
      <c r="BAB59" s="28"/>
      <c r="BAC59" s="28"/>
      <c r="BAD59" s="28"/>
      <c r="BAE59" s="28"/>
      <c r="BAF59" s="28"/>
      <c r="BAG59" s="28"/>
      <c r="BAH59" s="28"/>
      <c r="BAI59" s="28"/>
      <c r="BAJ59" s="28"/>
      <c r="BAK59" s="28"/>
      <c r="BAL59" s="28"/>
      <c r="BAM59" s="28"/>
      <c r="BAN59" s="28"/>
      <c r="BAO59" s="28"/>
      <c r="BAP59" s="28"/>
      <c r="BAQ59" s="28"/>
      <c r="BAR59" s="28"/>
      <c r="BAS59" s="28"/>
      <c r="BAT59" s="28"/>
      <c r="BAU59" s="28"/>
      <c r="BAV59" s="28"/>
      <c r="BAW59" s="28"/>
      <c r="BAX59" s="28"/>
      <c r="BAY59" s="28"/>
      <c r="BAZ59" s="28"/>
      <c r="BBA59" s="28"/>
      <c r="BBB59" s="28"/>
      <c r="BBC59" s="28"/>
      <c r="BBD59" s="28"/>
      <c r="BBE59" s="28"/>
      <c r="BBF59" s="28"/>
      <c r="BBG59" s="28"/>
      <c r="BBH59" s="28"/>
      <c r="BBI59" s="28"/>
      <c r="BBJ59" s="28"/>
      <c r="BBK59" s="28"/>
      <c r="BBL59" s="28"/>
      <c r="BBM59" s="28"/>
      <c r="BBN59" s="28"/>
      <c r="BBO59" s="28"/>
      <c r="BBP59" s="28"/>
      <c r="BBQ59" s="28"/>
      <c r="BBR59" s="28"/>
      <c r="BBS59" s="28"/>
      <c r="BBT59" s="28"/>
      <c r="BBU59" s="28"/>
      <c r="BBV59" s="28"/>
      <c r="BBW59" s="28"/>
      <c r="BBX59" s="28"/>
      <c r="BBY59" s="28"/>
      <c r="BBZ59" s="28"/>
      <c r="BCA59" s="28"/>
      <c r="BCB59" s="28"/>
      <c r="BCC59" s="28"/>
      <c r="BCD59" s="28"/>
      <c r="BCE59" s="28"/>
      <c r="BCF59" s="28"/>
      <c r="BCG59" s="28"/>
      <c r="BCH59" s="28"/>
      <c r="BCI59" s="28"/>
      <c r="BCJ59" s="28"/>
      <c r="BCK59" s="28"/>
      <c r="BCL59" s="28"/>
      <c r="BCM59" s="28"/>
      <c r="BCN59" s="28"/>
      <c r="BCO59" s="28"/>
      <c r="BCP59" s="28"/>
      <c r="BCQ59" s="28"/>
      <c r="BCR59" s="28"/>
      <c r="BCS59" s="28"/>
      <c r="BCT59" s="28"/>
      <c r="BCU59" s="28"/>
      <c r="BCV59" s="28"/>
      <c r="BCW59" s="28"/>
      <c r="BCX59" s="28"/>
      <c r="BCY59" s="28"/>
      <c r="BCZ59" s="28"/>
      <c r="BDA59" s="28"/>
      <c r="BDB59" s="28"/>
      <c r="BDC59" s="28"/>
      <c r="BDD59" s="28"/>
      <c r="BDE59" s="28"/>
      <c r="BDF59" s="28"/>
      <c r="BDG59" s="28"/>
      <c r="BDH59" s="28"/>
      <c r="BDI59" s="28"/>
      <c r="BDJ59" s="28"/>
      <c r="BDK59" s="28"/>
      <c r="BDL59" s="28"/>
      <c r="BDM59" s="28"/>
      <c r="BDN59" s="28"/>
      <c r="BDO59" s="28"/>
      <c r="BDP59" s="28"/>
      <c r="BDQ59" s="28"/>
      <c r="BDR59" s="28"/>
      <c r="BDS59" s="28"/>
      <c r="BDT59" s="28"/>
      <c r="BDU59" s="28"/>
      <c r="BDV59" s="28"/>
      <c r="BDW59" s="28"/>
      <c r="BDX59" s="28"/>
      <c r="BDY59" s="28"/>
      <c r="BDZ59" s="28"/>
      <c r="BEA59" s="28"/>
      <c r="BEB59" s="28"/>
      <c r="BEC59" s="28"/>
      <c r="BED59" s="28"/>
      <c r="BEE59" s="28"/>
      <c r="BEF59" s="28"/>
      <c r="BEG59" s="28"/>
      <c r="BEH59" s="28"/>
      <c r="BEI59" s="28"/>
      <c r="BEJ59" s="28"/>
      <c r="BEK59" s="28"/>
      <c r="BEL59" s="28"/>
      <c r="BEM59" s="28"/>
      <c r="BEN59" s="28"/>
      <c r="BEO59" s="28"/>
      <c r="BEP59" s="28"/>
      <c r="BEQ59" s="28"/>
      <c r="BER59" s="28"/>
      <c r="BES59" s="28"/>
      <c r="BET59" s="28"/>
      <c r="BEU59" s="28"/>
      <c r="BEV59" s="28"/>
      <c r="BEW59" s="28"/>
      <c r="BEX59" s="28"/>
      <c r="BEY59" s="28"/>
      <c r="BEZ59" s="28"/>
      <c r="BFA59" s="28"/>
      <c r="BFB59" s="28"/>
      <c r="BFC59" s="28"/>
      <c r="BFD59" s="28"/>
      <c r="BFE59" s="28"/>
      <c r="BFF59" s="28"/>
      <c r="BFG59" s="28"/>
      <c r="BFH59" s="28"/>
      <c r="BFI59" s="28"/>
      <c r="BFJ59" s="28"/>
      <c r="BFK59" s="28"/>
      <c r="BFL59" s="28"/>
      <c r="BFM59" s="28"/>
      <c r="BFN59" s="28"/>
      <c r="BFO59" s="28"/>
      <c r="BFP59" s="28"/>
      <c r="BFQ59" s="28"/>
      <c r="BFR59" s="28"/>
      <c r="BFS59" s="28"/>
      <c r="BFT59" s="28"/>
      <c r="BFU59" s="28"/>
      <c r="BFV59" s="28"/>
      <c r="BFW59" s="28"/>
      <c r="BFX59" s="28"/>
      <c r="BFY59" s="28"/>
      <c r="BFZ59" s="28"/>
      <c r="BGA59" s="28"/>
      <c r="BGB59" s="28"/>
      <c r="BGC59" s="28"/>
      <c r="BGD59" s="28"/>
      <c r="BGE59" s="28"/>
      <c r="BGF59" s="28"/>
      <c r="BGG59" s="28"/>
      <c r="BGH59" s="28"/>
      <c r="BGI59" s="28"/>
      <c r="BGJ59" s="28"/>
      <c r="BGK59" s="28"/>
      <c r="BGL59" s="28"/>
      <c r="BGM59" s="28"/>
      <c r="BGN59" s="28"/>
      <c r="BGO59" s="28"/>
      <c r="BGP59" s="28"/>
      <c r="BGQ59" s="28"/>
      <c r="BGR59" s="28"/>
      <c r="BGS59" s="28"/>
      <c r="BGT59" s="28"/>
      <c r="BGU59" s="28"/>
      <c r="BGV59" s="28"/>
      <c r="BGW59" s="28"/>
      <c r="BGX59" s="28"/>
      <c r="BGY59" s="28"/>
      <c r="BGZ59" s="28"/>
      <c r="BHA59" s="28"/>
      <c r="BHB59" s="28"/>
      <c r="BHC59" s="28"/>
      <c r="BHD59" s="28"/>
      <c r="BHE59" s="28"/>
      <c r="BHF59" s="28"/>
      <c r="BHG59" s="28"/>
      <c r="BHH59" s="28"/>
      <c r="BHI59" s="28"/>
      <c r="BHJ59" s="28"/>
      <c r="BHK59" s="28"/>
      <c r="BHL59" s="28"/>
      <c r="BHM59" s="28"/>
      <c r="BHN59" s="28"/>
      <c r="BHO59" s="28"/>
      <c r="BHP59" s="28"/>
      <c r="BHQ59" s="28"/>
      <c r="BHR59" s="28"/>
      <c r="BHS59" s="28"/>
      <c r="BHT59" s="28"/>
      <c r="BHU59" s="28"/>
      <c r="BHV59" s="28"/>
      <c r="BHW59" s="28"/>
      <c r="BHX59" s="28"/>
      <c r="BHY59" s="28"/>
      <c r="BHZ59" s="28"/>
      <c r="BIA59" s="28"/>
      <c r="BIB59" s="28"/>
      <c r="BIC59" s="28"/>
      <c r="BID59" s="28"/>
      <c r="BIE59" s="28"/>
      <c r="BIF59" s="28"/>
      <c r="BIG59" s="28"/>
      <c r="BIH59" s="28"/>
      <c r="BII59" s="28"/>
      <c r="BIJ59" s="28"/>
      <c r="BIK59" s="28"/>
      <c r="BIL59" s="28"/>
      <c r="BIM59" s="28"/>
      <c r="BIN59" s="28"/>
      <c r="BIO59" s="28"/>
      <c r="BIP59" s="28"/>
      <c r="BIQ59" s="28"/>
      <c r="BIR59" s="28"/>
      <c r="BIS59" s="28"/>
      <c r="BIT59" s="28"/>
      <c r="BIU59" s="28"/>
      <c r="BIV59" s="28"/>
      <c r="BIW59" s="28"/>
      <c r="BIX59" s="28"/>
      <c r="BIY59" s="28"/>
      <c r="BIZ59" s="28"/>
      <c r="BJA59" s="28"/>
      <c r="BJB59" s="28"/>
      <c r="BJC59" s="28"/>
      <c r="BJD59" s="28"/>
      <c r="BJE59" s="28"/>
      <c r="BJF59" s="28"/>
      <c r="BJG59" s="28"/>
      <c r="BJH59" s="28"/>
      <c r="BJI59" s="28"/>
      <c r="BJJ59" s="28"/>
      <c r="BJK59" s="28"/>
      <c r="BJL59" s="28"/>
      <c r="BJM59" s="28"/>
      <c r="BJN59" s="28"/>
      <c r="BJO59" s="28"/>
      <c r="BJP59" s="28"/>
      <c r="BJQ59" s="28"/>
      <c r="BJR59" s="28"/>
      <c r="BJS59" s="28"/>
      <c r="BJT59" s="28"/>
      <c r="BJU59" s="28"/>
      <c r="BJV59" s="28"/>
      <c r="BJW59" s="28"/>
      <c r="BJX59" s="28"/>
      <c r="BJY59" s="28"/>
      <c r="BJZ59" s="28"/>
      <c r="BKA59" s="28"/>
      <c r="BKB59" s="28"/>
      <c r="BKC59" s="28"/>
      <c r="BKD59" s="28"/>
      <c r="BKE59" s="28"/>
      <c r="BKF59" s="28"/>
      <c r="BKG59" s="28"/>
      <c r="BKH59" s="28"/>
      <c r="BKI59" s="28"/>
      <c r="BKJ59" s="28"/>
      <c r="BKK59" s="28"/>
      <c r="BKL59" s="28"/>
      <c r="BKM59" s="28"/>
      <c r="BKN59" s="28"/>
      <c r="BKO59" s="28"/>
      <c r="BKP59" s="28"/>
      <c r="BKQ59" s="28"/>
      <c r="BKR59" s="28"/>
      <c r="BKS59" s="28"/>
      <c r="BKT59" s="28"/>
      <c r="BKU59" s="28"/>
      <c r="BKV59" s="28"/>
      <c r="BKW59" s="28"/>
      <c r="BKX59" s="28"/>
      <c r="BKY59" s="28"/>
      <c r="BKZ59" s="28"/>
      <c r="BLA59" s="28"/>
      <c r="BLB59" s="28"/>
      <c r="BLC59" s="28"/>
      <c r="BLD59" s="28"/>
      <c r="BLE59" s="28"/>
      <c r="BLF59" s="28"/>
      <c r="BLG59" s="28"/>
      <c r="BLH59" s="28"/>
      <c r="BLI59" s="28"/>
      <c r="BLJ59" s="28"/>
      <c r="BLK59" s="28"/>
      <c r="BLL59" s="28"/>
      <c r="BLM59" s="28"/>
      <c r="BLN59" s="28"/>
      <c r="BLO59" s="28"/>
      <c r="BLP59" s="28"/>
      <c r="BLQ59" s="28"/>
      <c r="BLR59" s="28"/>
      <c r="BLS59" s="28"/>
      <c r="BLT59" s="28"/>
      <c r="BLU59" s="28"/>
      <c r="BLV59" s="28"/>
      <c r="BLW59" s="28"/>
      <c r="BLX59" s="28"/>
      <c r="BLY59" s="28"/>
      <c r="BLZ59" s="28"/>
      <c r="BMA59" s="28"/>
      <c r="BMB59" s="28"/>
      <c r="BMC59" s="28"/>
      <c r="BMD59" s="28"/>
      <c r="BME59" s="28"/>
      <c r="BMF59" s="28"/>
      <c r="BMG59" s="28"/>
      <c r="BMH59" s="28"/>
      <c r="BMI59" s="28"/>
      <c r="BMJ59" s="28"/>
      <c r="BMK59" s="28"/>
      <c r="BML59" s="28"/>
      <c r="BMM59" s="28"/>
      <c r="BMN59" s="28"/>
      <c r="BMO59" s="28"/>
      <c r="BMP59" s="28"/>
      <c r="BMQ59" s="28"/>
      <c r="BMR59" s="28"/>
      <c r="BMS59" s="28"/>
      <c r="BMT59" s="28"/>
      <c r="BMU59" s="28"/>
      <c r="BMV59" s="28"/>
      <c r="BMW59" s="28"/>
      <c r="BMX59" s="28"/>
      <c r="BMY59" s="28"/>
      <c r="BMZ59" s="28"/>
      <c r="BNA59" s="28"/>
      <c r="BNB59" s="28"/>
      <c r="BNC59" s="28"/>
      <c r="BND59" s="28"/>
      <c r="BNE59" s="28"/>
      <c r="BNF59" s="28"/>
      <c r="BNG59" s="28"/>
      <c r="BNH59" s="28"/>
      <c r="BNI59" s="28"/>
      <c r="BNJ59" s="28"/>
      <c r="BNK59" s="28"/>
      <c r="BNL59" s="28"/>
      <c r="BNM59" s="28"/>
      <c r="BNN59" s="28"/>
      <c r="BNO59" s="28"/>
      <c r="BNP59" s="28"/>
      <c r="BNQ59" s="28"/>
      <c r="BNR59" s="28"/>
      <c r="BNS59" s="28"/>
      <c r="BNT59" s="28"/>
      <c r="BNU59" s="28"/>
      <c r="BNV59" s="28"/>
      <c r="BNW59" s="28"/>
      <c r="BNX59" s="28"/>
      <c r="BNY59" s="28"/>
      <c r="BNZ59" s="28"/>
      <c r="BOA59" s="28"/>
      <c r="BOB59" s="28"/>
      <c r="BOC59" s="28"/>
      <c r="BOD59" s="28"/>
      <c r="BOE59" s="28"/>
      <c r="BOF59" s="28"/>
      <c r="BOG59" s="28"/>
      <c r="BOH59" s="28"/>
      <c r="BOI59" s="28"/>
      <c r="BOJ59" s="28"/>
      <c r="BOK59" s="28"/>
      <c r="BOL59" s="28"/>
      <c r="BOM59" s="28"/>
      <c r="BON59" s="28"/>
      <c r="BOO59" s="28"/>
      <c r="BOP59" s="28"/>
      <c r="BOQ59" s="28"/>
      <c r="BOR59" s="28"/>
      <c r="BOS59" s="28"/>
      <c r="BOT59" s="28"/>
      <c r="BOU59" s="28"/>
      <c r="BOV59" s="28"/>
      <c r="BOW59" s="28"/>
      <c r="BOX59" s="28"/>
      <c r="BOY59" s="28"/>
      <c r="BOZ59" s="28"/>
      <c r="BPA59" s="28"/>
      <c r="BPB59" s="28"/>
      <c r="BPC59" s="28"/>
      <c r="BPD59" s="28"/>
      <c r="BPE59" s="28"/>
      <c r="BPF59" s="28"/>
      <c r="BPG59" s="28"/>
      <c r="BPH59" s="28"/>
      <c r="BPI59" s="28"/>
      <c r="BPJ59" s="28"/>
      <c r="BPK59" s="28"/>
      <c r="BPL59" s="28"/>
      <c r="BPM59" s="28"/>
      <c r="BPN59" s="28"/>
      <c r="BPO59" s="28"/>
      <c r="BPP59" s="28"/>
      <c r="BPQ59" s="28"/>
      <c r="BPR59" s="28"/>
      <c r="BPS59" s="28"/>
      <c r="BPT59" s="28"/>
      <c r="BPU59" s="28"/>
      <c r="BPV59" s="28"/>
      <c r="BPW59" s="28"/>
      <c r="BPX59" s="28"/>
      <c r="BPY59" s="28"/>
      <c r="BPZ59" s="28"/>
      <c r="BQA59" s="28"/>
      <c r="BQB59" s="28"/>
      <c r="BQC59" s="28"/>
      <c r="BQD59" s="28"/>
      <c r="BQE59" s="28"/>
      <c r="BQF59" s="28"/>
      <c r="BQG59" s="28"/>
      <c r="BQH59" s="28"/>
      <c r="BQI59" s="28"/>
      <c r="BQJ59" s="28"/>
      <c r="BQK59" s="28"/>
      <c r="BQL59" s="28"/>
      <c r="BQM59" s="28"/>
      <c r="BQN59" s="28"/>
      <c r="BQO59" s="28"/>
      <c r="BQP59" s="28"/>
      <c r="BQQ59" s="28"/>
      <c r="BQR59" s="28"/>
      <c r="BQS59" s="28"/>
      <c r="BQT59" s="28"/>
      <c r="BQU59" s="28"/>
      <c r="BQV59" s="28"/>
      <c r="BQW59" s="28"/>
      <c r="BQX59" s="28"/>
      <c r="BQY59" s="28"/>
      <c r="BQZ59" s="28"/>
      <c r="BRA59" s="28"/>
      <c r="BRB59" s="28"/>
      <c r="BRC59" s="28"/>
      <c r="BRD59" s="28"/>
      <c r="BRE59" s="28"/>
      <c r="BRF59" s="28"/>
      <c r="BRG59" s="28"/>
      <c r="BRH59" s="28"/>
      <c r="BRI59" s="28"/>
      <c r="BRJ59" s="28"/>
      <c r="BRK59" s="28"/>
      <c r="BRL59" s="28"/>
      <c r="BRM59" s="28"/>
      <c r="BRN59" s="28"/>
      <c r="BRO59" s="28"/>
      <c r="BRP59" s="28"/>
      <c r="BRQ59" s="28"/>
      <c r="BRR59" s="28"/>
      <c r="BRS59" s="28"/>
      <c r="BRT59" s="28"/>
      <c r="BRU59" s="28"/>
      <c r="BRV59" s="28"/>
      <c r="BRW59" s="28"/>
      <c r="BRX59" s="28"/>
      <c r="BRY59" s="28"/>
      <c r="BRZ59" s="28"/>
      <c r="BSA59" s="28"/>
      <c r="BSB59" s="28"/>
      <c r="BSC59" s="28"/>
      <c r="BSD59" s="28"/>
      <c r="BSE59" s="28"/>
      <c r="BSF59" s="28"/>
      <c r="BSG59" s="28"/>
      <c r="BSH59" s="28"/>
      <c r="BSI59" s="28"/>
      <c r="BSJ59" s="28"/>
      <c r="BSK59" s="28"/>
      <c r="BSL59" s="28"/>
      <c r="BSM59" s="28"/>
      <c r="BSN59" s="28"/>
      <c r="BSO59" s="28"/>
      <c r="BSP59" s="28"/>
      <c r="BSQ59" s="28"/>
      <c r="BSR59" s="28"/>
      <c r="BSS59" s="28"/>
      <c r="BST59" s="28"/>
      <c r="BSU59" s="28"/>
      <c r="BSV59" s="28"/>
      <c r="BSW59" s="28"/>
      <c r="BSX59" s="28"/>
      <c r="BSY59" s="28"/>
      <c r="BSZ59" s="28"/>
      <c r="BTA59" s="28"/>
      <c r="BTB59" s="28"/>
      <c r="BTC59" s="28"/>
      <c r="BTD59" s="28"/>
      <c r="BTE59" s="28"/>
      <c r="BTF59" s="28"/>
      <c r="BTG59" s="28"/>
      <c r="BTH59" s="28"/>
      <c r="BTI59" s="28"/>
      <c r="BTJ59" s="28"/>
      <c r="BTK59" s="28"/>
      <c r="BTL59" s="28"/>
      <c r="BTM59" s="28"/>
      <c r="BTN59" s="28"/>
      <c r="BTO59" s="28"/>
      <c r="BTP59" s="28"/>
      <c r="BTQ59" s="28"/>
      <c r="BTR59" s="28"/>
      <c r="BTS59" s="28"/>
      <c r="BTT59" s="28"/>
      <c r="BTU59" s="28"/>
      <c r="BTV59" s="28"/>
      <c r="BTW59" s="28"/>
      <c r="BTX59" s="28"/>
      <c r="BTY59" s="28"/>
      <c r="BTZ59" s="28"/>
      <c r="BUA59" s="28"/>
      <c r="BUB59" s="28"/>
      <c r="BUC59" s="28"/>
      <c r="BUD59" s="28"/>
      <c r="BUE59" s="28"/>
      <c r="BUF59" s="28"/>
      <c r="BUG59" s="28"/>
      <c r="BUH59" s="28"/>
      <c r="BUI59" s="28"/>
      <c r="BUJ59" s="28"/>
      <c r="BUK59" s="28"/>
      <c r="BUL59" s="28"/>
      <c r="BUM59" s="28"/>
      <c r="BUN59" s="28"/>
      <c r="BUO59" s="28"/>
      <c r="BUP59" s="28"/>
      <c r="BUQ59" s="28"/>
      <c r="BUR59" s="28"/>
      <c r="BUS59" s="28"/>
      <c r="BUT59" s="28"/>
      <c r="BUU59" s="28"/>
      <c r="BUV59" s="28"/>
      <c r="BUW59" s="28"/>
      <c r="BUX59" s="28"/>
      <c r="BUY59" s="28"/>
      <c r="BUZ59" s="28"/>
      <c r="BVA59" s="28"/>
      <c r="BVB59" s="28"/>
      <c r="BVC59" s="28"/>
      <c r="BVD59" s="28"/>
      <c r="BVE59" s="28"/>
      <c r="BVF59" s="28"/>
      <c r="BVG59" s="28"/>
      <c r="BVH59" s="28"/>
      <c r="BVI59" s="28"/>
      <c r="BVJ59" s="28"/>
      <c r="BVK59" s="28"/>
      <c r="BVL59" s="28"/>
      <c r="BVM59" s="28"/>
      <c r="BVN59" s="28"/>
      <c r="BVO59" s="28"/>
      <c r="BVP59" s="28"/>
      <c r="BVQ59" s="28"/>
      <c r="BVR59" s="28"/>
      <c r="BVS59" s="28"/>
      <c r="BVT59" s="28"/>
      <c r="BVU59" s="28"/>
      <c r="BVV59" s="28"/>
      <c r="BVW59" s="28"/>
      <c r="BVX59" s="28"/>
      <c r="BVY59" s="28"/>
      <c r="BVZ59" s="28"/>
      <c r="BWA59" s="28"/>
      <c r="BWB59" s="28"/>
      <c r="BWC59" s="28"/>
      <c r="BWD59" s="28"/>
      <c r="BWE59" s="28"/>
      <c r="BWF59" s="28"/>
      <c r="BWG59" s="28"/>
      <c r="BWH59" s="28"/>
      <c r="BWI59" s="28"/>
      <c r="BWJ59" s="28"/>
      <c r="BWK59" s="28"/>
      <c r="BWL59" s="28"/>
      <c r="BWM59" s="28"/>
      <c r="BWN59" s="28"/>
      <c r="BWO59" s="28"/>
      <c r="BWP59" s="28"/>
      <c r="BWQ59" s="28"/>
      <c r="BWR59" s="28"/>
      <c r="BWS59" s="28"/>
      <c r="BWT59" s="28"/>
      <c r="BWU59" s="28"/>
      <c r="BWV59" s="28"/>
      <c r="BWW59" s="28"/>
      <c r="BWX59" s="28"/>
      <c r="BWY59" s="28"/>
      <c r="BWZ59" s="28"/>
      <c r="BXA59" s="28"/>
      <c r="BXB59" s="28"/>
      <c r="BXC59" s="28"/>
      <c r="BXD59" s="28"/>
      <c r="BXE59" s="28"/>
      <c r="BXF59" s="28"/>
      <c r="BXG59" s="28"/>
      <c r="BXH59" s="28"/>
      <c r="BXI59" s="28"/>
      <c r="BXJ59" s="28"/>
      <c r="BXK59" s="28"/>
      <c r="BXL59" s="28"/>
      <c r="BXM59" s="28"/>
      <c r="BXN59" s="28"/>
      <c r="BXO59" s="28"/>
      <c r="BXP59" s="28"/>
      <c r="BXQ59" s="28"/>
      <c r="BXR59" s="28"/>
      <c r="BXS59" s="28"/>
      <c r="BXT59" s="28"/>
      <c r="BXU59" s="28"/>
      <c r="BXV59" s="28"/>
      <c r="BXW59" s="28"/>
      <c r="BXX59" s="28"/>
      <c r="BXY59" s="28"/>
      <c r="BXZ59" s="28"/>
      <c r="BYA59" s="28"/>
      <c r="BYB59" s="28"/>
      <c r="BYC59" s="28"/>
      <c r="BYD59" s="28"/>
      <c r="BYE59" s="28"/>
      <c r="BYF59" s="28"/>
      <c r="BYG59" s="28"/>
      <c r="BYH59" s="28"/>
      <c r="BYI59" s="28"/>
      <c r="BYJ59" s="28"/>
      <c r="BYK59" s="28"/>
      <c r="BYL59" s="28"/>
      <c r="BYM59" s="28"/>
      <c r="BYN59" s="28"/>
      <c r="BYO59" s="28"/>
      <c r="BYP59" s="28"/>
      <c r="BYQ59" s="28"/>
      <c r="BYR59" s="28"/>
      <c r="BYS59" s="28"/>
      <c r="BYT59" s="28"/>
      <c r="BYU59" s="28"/>
      <c r="BYV59" s="28"/>
      <c r="BYW59" s="28"/>
      <c r="BYX59" s="28"/>
      <c r="BYY59" s="28"/>
      <c r="BYZ59" s="28"/>
      <c r="BZA59" s="28"/>
      <c r="BZB59" s="28"/>
      <c r="BZC59" s="28"/>
      <c r="BZD59" s="28"/>
      <c r="BZE59" s="28"/>
      <c r="BZF59" s="28"/>
      <c r="BZG59" s="28"/>
      <c r="BZH59" s="28"/>
      <c r="BZI59" s="28"/>
      <c r="BZJ59" s="28"/>
      <c r="BZK59" s="28"/>
      <c r="BZL59" s="28"/>
      <c r="BZM59" s="28"/>
      <c r="BZN59" s="28"/>
      <c r="BZO59" s="28"/>
      <c r="BZP59" s="28"/>
      <c r="BZQ59" s="28"/>
      <c r="BZR59" s="28"/>
      <c r="BZS59" s="28"/>
      <c r="BZT59" s="28"/>
      <c r="BZU59" s="28"/>
      <c r="BZV59" s="28"/>
      <c r="BZW59" s="28"/>
      <c r="BZX59" s="28"/>
      <c r="BZY59" s="28"/>
      <c r="BZZ59" s="28"/>
      <c r="CAA59" s="28"/>
      <c r="CAB59" s="28"/>
      <c r="CAC59" s="28"/>
      <c r="CAD59" s="28"/>
      <c r="CAE59" s="28"/>
      <c r="CAF59" s="28"/>
      <c r="CAG59" s="28"/>
      <c r="CAH59" s="28"/>
      <c r="CAI59" s="28"/>
      <c r="CAJ59" s="28"/>
      <c r="CAK59" s="28"/>
      <c r="CAL59" s="28"/>
      <c r="CAM59" s="28"/>
      <c r="CAN59" s="28"/>
      <c r="CAO59" s="28"/>
      <c r="CAP59" s="28"/>
      <c r="CAQ59" s="28"/>
      <c r="CAR59" s="28"/>
      <c r="CAS59" s="28"/>
      <c r="CAT59" s="28"/>
      <c r="CAU59" s="28"/>
      <c r="CAV59" s="28"/>
      <c r="CAW59" s="28"/>
      <c r="CAX59" s="28"/>
      <c r="CAY59" s="28"/>
      <c r="CAZ59" s="28"/>
      <c r="CBA59" s="28"/>
      <c r="CBB59" s="28"/>
      <c r="CBC59" s="28"/>
      <c r="CBD59" s="28"/>
      <c r="CBE59" s="28"/>
      <c r="CBF59" s="28"/>
      <c r="CBG59" s="28"/>
      <c r="CBH59" s="28"/>
      <c r="CBI59" s="28"/>
      <c r="CBJ59" s="28"/>
      <c r="CBK59" s="28"/>
      <c r="CBL59" s="28"/>
      <c r="CBM59" s="28"/>
      <c r="CBN59" s="28"/>
      <c r="CBO59" s="28"/>
      <c r="CBP59" s="28"/>
      <c r="CBQ59" s="28"/>
      <c r="CBR59" s="28"/>
      <c r="CBS59" s="28"/>
      <c r="CBT59" s="28"/>
      <c r="CBU59" s="28"/>
      <c r="CBV59" s="28"/>
      <c r="CBW59" s="28"/>
      <c r="CBX59" s="28"/>
      <c r="CBY59" s="28"/>
      <c r="CBZ59" s="28"/>
      <c r="CCA59" s="28"/>
      <c r="CCB59" s="28"/>
      <c r="CCC59" s="28"/>
      <c r="CCD59" s="28"/>
      <c r="CCE59" s="28"/>
      <c r="CCF59" s="28"/>
      <c r="CCG59" s="28"/>
      <c r="CCH59" s="28"/>
      <c r="CCI59" s="28"/>
      <c r="CCJ59" s="28"/>
      <c r="CCK59" s="28"/>
      <c r="CCL59" s="28"/>
      <c r="CCM59" s="28"/>
      <c r="CCN59" s="28"/>
      <c r="CCO59" s="28"/>
      <c r="CCP59" s="28"/>
      <c r="CCQ59" s="28"/>
      <c r="CCR59" s="28"/>
      <c r="CCS59" s="28"/>
      <c r="CCT59" s="28"/>
      <c r="CCU59" s="28"/>
      <c r="CCV59" s="28"/>
      <c r="CCW59" s="28"/>
      <c r="CCX59" s="28"/>
      <c r="CCY59" s="28"/>
      <c r="CCZ59" s="28"/>
      <c r="CDA59" s="28"/>
      <c r="CDB59" s="28"/>
      <c r="CDC59" s="28"/>
      <c r="CDD59" s="28"/>
      <c r="CDE59" s="28"/>
      <c r="CDF59" s="28"/>
      <c r="CDG59" s="28"/>
      <c r="CDH59" s="28"/>
      <c r="CDI59" s="28"/>
      <c r="CDJ59" s="28"/>
      <c r="CDK59" s="28"/>
      <c r="CDL59" s="28"/>
      <c r="CDM59" s="28"/>
      <c r="CDN59" s="28"/>
      <c r="CDO59" s="28"/>
      <c r="CDP59" s="28"/>
      <c r="CDQ59" s="28"/>
      <c r="CDR59" s="28"/>
      <c r="CDS59" s="28"/>
      <c r="CDT59" s="28"/>
      <c r="CDU59" s="28"/>
      <c r="CDV59" s="28"/>
      <c r="CDW59" s="28"/>
      <c r="CDX59" s="28"/>
      <c r="CDY59" s="28"/>
      <c r="CDZ59" s="28"/>
      <c r="CEA59" s="28"/>
      <c r="CEB59" s="28"/>
      <c r="CEC59" s="28"/>
      <c r="CED59" s="28"/>
      <c r="CEE59" s="28"/>
      <c r="CEF59" s="28"/>
      <c r="CEG59" s="28"/>
      <c r="CEH59" s="28"/>
      <c r="CEI59" s="28"/>
      <c r="CEJ59" s="28"/>
      <c r="CEK59" s="28"/>
      <c r="CEL59" s="28"/>
      <c r="CEM59" s="28"/>
      <c r="CEN59" s="28"/>
      <c r="CEO59" s="28"/>
      <c r="CEP59" s="28"/>
      <c r="CEQ59" s="28"/>
      <c r="CER59" s="28"/>
      <c r="CES59" s="28"/>
      <c r="CET59" s="28"/>
      <c r="CEU59" s="28"/>
      <c r="CEV59" s="28"/>
      <c r="CEW59" s="28"/>
      <c r="CEX59" s="28"/>
      <c r="CEY59" s="28"/>
      <c r="CEZ59" s="28"/>
      <c r="CFA59" s="28"/>
      <c r="CFB59" s="28"/>
      <c r="CFC59" s="28"/>
      <c r="CFD59" s="28"/>
      <c r="CFE59" s="28"/>
      <c r="CFF59" s="28"/>
      <c r="CFG59" s="28"/>
      <c r="CFH59" s="28"/>
      <c r="CFI59" s="28"/>
      <c r="CFJ59" s="28"/>
      <c r="CFK59" s="28"/>
      <c r="CFL59" s="28"/>
      <c r="CFM59" s="28"/>
      <c r="CFN59" s="28"/>
      <c r="CFO59" s="28"/>
      <c r="CFP59" s="28"/>
      <c r="CFQ59" s="28"/>
      <c r="CFR59" s="28"/>
      <c r="CFS59" s="28"/>
      <c r="CFT59" s="28"/>
      <c r="CFU59" s="28"/>
      <c r="CFV59" s="28"/>
      <c r="CFW59" s="28"/>
      <c r="CFX59" s="28"/>
      <c r="CFY59" s="28"/>
      <c r="CFZ59" s="28"/>
      <c r="CGA59" s="28"/>
      <c r="CGB59" s="28"/>
      <c r="CGC59" s="28"/>
      <c r="CGD59" s="28"/>
      <c r="CGE59" s="28"/>
      <c r="CGF59" s="28"/>
      <c r="CGG59" s="28"/>
      <c r="CGH59" s="28"/>
      <c r="CGI59" s="28"/>
      <c r="CGJ59" s="28"/>
      <c r="CGK59" s="28"/>
      <c r="CGL59" s="28"/>
      <c r="CGM59" s="28"/>
      <c r="CGN59" s="28"/>
      <c r="CGO59" s="28"/>
      <c r="CGP59" s="28"/>
      <c r="CGQ59" s="28"/>
      <c r="CGR59" s="28"/>
      <c r="CGS59" s="28"/>
      <c r="CGT59" s="28"/>
      <c r="CGU59" s="28"/>
      <c r="CGV59" s="28"/>
      <c r="CGW59" s="28"/>
      <c r="CGX59" s="28"/>
      <c r="CGY59" s="28"/>
      <c r="CGZ59" s="28"/>
      <c r="CHA59" s="28"/>
      <c r="CHB59" s="28"/>
      <c r="CHC59" s="28"/>
      <c r="CHD59" s="28"/>
      <c r="CHE59" s="28"/>
      <c r="CHF59" s="28"/>
      <c r="CHG59" s="28"/>
      <c r="CHH59" s="28"/>
      <c r="CHI59" s="28"/>
      <c r="CHJ59" s="28"/>
      <c r="CHK59" s="28"/>
      <c r="CHL59" s="28"/>
      <c r="CHM59" s="28"/>
      <c r="CHN59" s="28"/>
      <c r="CHO59" s="28"/>
      <c r="CHP59" s="28"/>
      <c r="CHQ59" s="28"/>
      <c r="CHR59" s="28"/>
      <c r="CHS59" s="28"/>
      <c r="CHT59" s="28"/>
      <c r="CHU59" s="28"/>
      <c r="CHV59" s="28"/>
      <c r="CHW59" s="28"/>
      <c r="CHX59" s="28"/>
      <c r="CHY59" s="28"/>
      <c r="CHZ59" s="28"/>
      <c r="CIA59" s="28"/>
      <c r="CIB59" s="28"/>
      <c r="CIC59" s="28"/>
      <c r="CID59" s="28"/>
      <c r="CIE59" s="28"/>
      <c r="CIF59" s="28"/>
      <c r="CIG59" s="28"/>
      <c r="CIH59" s="28"/>
      <c r="CII59" s="28"/>
      <c r="CIJ59" s="28"/>
      <c r="CIK59" s="28"/>
      <c r="CIL59" s="28"/>
      <c r="CIM59" s="28"/>
      <c r="CIN59" s="28"/>
      <c r="CIO59" s="28"/>
      <c r="CIP59" s="28"/>
      <c r="CIQ59" s="28"/>
      <c r="CIR59" s="28"/>
      <c r="CIS59" s="28"/>
      <c r="CIT59" s="28"/>
      <c r="CIU59" s="28"/>
      <c r="CIV59" s="28"/>
      <c r="CIW59" s="28"/>
      <c r="CIX59" s="28"/>
      <c r="CIY59" s="28"/>
      <c r="CIZ59" s="28"/>
      <c r="CJA59" s="28"/>
      <c r="CJB59" s="28"/>
      <c r="CJC59" s="28"/>
      <c r="CJD59" s="28"/>
      <c r="CJE59" s="28"/>
      <c r="CJF59" s="28"/>
      <c r="CJG59" s="28"/>
      <c r="CJH59" s="28"/>
      <c r="CJI59" s="28"/>
      <c r="CJJ59" s="28"/>
      <c r="CJK59" s="28"/>
      <c r="CJL59" s="28"/>
      <c r="CJM59" s="28"/>
      <c r="CJN59" s="28"/>
      <c r="CJO59" s="28"/>
      <c r="CJP59" s="28"/>
      <c r="CJQ59" s="28"/>
      <c r="CJR59" s="28"/>
      <c r="CJS59" s="28"/>
      <c r="CJT59" s="28"/>
      <c r="CJU59" s="28"/>
      <c r="CJV59" s="28"/>
      <c r="CJW59" s="28"/>
      <c r="CJX59" s="28"/>
      <c r="CJY59" s="28"/>
      <c r="CJZ59" s="28"/>
      <c r="CKA59" s="28"/>
      <c r="CKB59" s="28"/>
      <c r="CKC59" s="28"/>
      <c r="CKD59" s="28"/>
      <c r="CKE59" s="28"/>
      <c r="CKF59" s="28"/>
      <c r="CKG59" s="28"/>
      <c r="CKH59" s="28"/>
      <c r="CKI59" s="28"/>
      <c r="CKJ59" s="28"/>
      <c r="CKK59" s="28"/>
      <c r="CKL59" s="28"/>
      <c r="CKM59" s="28"/>
      <c r="CKN59" s="28"/>
      <c r="CKO59" s="28"/>
      <c r="CKP59" s="28"/>
      <c r="CKQ59" s="28"/>
      <c r="CKR59" s="28"/>
      <c r="CKS59" s="28"/>
      <c r="CKT59" s="28"/>
      <c r="CKU59" s="28"/>
      <c r="CKV59" s="28"/>
      <c r="CKW59" s="28"/>
      <c r="CKX59" s="28"/>
      <c r="CKY59" s="28"/>
      <c r="CKZ59" s="28"/>
      <c r="CLA59" s="28"/>
      <c r="CLB59" s="28"/>
      <c r="CLC59" s="28"/>
      <c r="CLD59" s="28"/>
      <c r="CLE59" s="28"/>
      <c r="CLF59" s="28"/>
      <c r="CLG59" s="28"/>
      <c r="CLH59" s="28"/>
      <c r="CLI59" s="28"/>
      <c r="CLJ59" s="28"/>
      <c r="CLK59" s="28"/>
      <c r="CLL59" s="28"/>
      <c r="CLM59" s="28"/>
      <c r="CLN59" s="28"/>
      <c r="CLO59" s="28"/>
      <c r="CLP59" s="28"/>
      <c r="CLQ59" s="28"/>
      <c r="CLR59" s="28"/>
      <c r="CLS59" s="28"/>
      <c r="CLT59" s="28"/>
      <c r="CLU59" s="28"/>
      <c r="CLV59" s="28"/>
      <c r="CLW59" s="28"/>
      <c r="CLX59" s="28"/>
      <c r="CLY59" s="28"/>
      <c r="CLZ59" s="28"/>
      <c r="CMA59" s="28"/>
      <c r="CMB59" s="28"/>
      <c r="CMC59" s="28"/>
      <c r="CMD59" s="28"/>
      <c r="CME59" s="28"/>
      <c r="CMF59" s="28"/>
      <c r="CMG59" s="28"/>
      <c r="CMH59" s="28"/>
      <c r="CMI59" s="28"/>
      <c r="CMJ59" s="28"/>
      <c r="CMK59" s="28"/>
      <c r="CML59" s="28"/>
      <c r="CMM59" s="28"/>
      <c r="CMN59" s="28"/>
      <c r="CMO59" s="28"/>
      <c r="CMP59" s="28"/>
      <c r="CMQ59" s="28"/>
      <c r="CMR59" s="28"/>
      <c r="CMS59" s="28"/>
      <c r="CMT59" s="28"/>
      <c r="CMU59" s="28"/>
      <c r="CMV59" s="28"/>
      <c r="CMW59" s="28"/>
      <c r="CMX59" s="28"/>
      <c r="CMY59" s="28"/>
      <c r="CMZ59" s="28"/>
      <c r="CNA59" s="28"/>
      <c r="CNB59" s="28"/>
      <c r="CNC59" s="28"/>
      <c r="CND59" s="28"/>
      <c r="CNE59" s="28"/>
      <c r="CNF59" s="28"/>
      <c r="CNG59" s="28"/>
      <c r="CNH59" s="28"/>
      <c r="CNI59" s="28"/>
      <c r="CNJ59" s="28"/>
      <c r="CNK59" s="28"/>
      <c r="CNL59" s="28"/>
      <c r="CNM59" s="28"/>
      <c r="CNN59" s="28"/>
      <c r="CNO59" s="28"/>
      <c r="CNP59" s="28"/>
      <c r="CNQ59" s="28"/>
      <c r="CNR59" s="28"/>
      <c r="CNS59" s="28"/>
      <c r="CNT59" s="28"/>
      <c r="CNU59" s="28"/>
      <c r="CNV59" s="28"/>
      <c r="CNW59" s="28"/>
      <c r="CNX59" s="28"/>
      <c r="CNY59" s="28"/>
      <c r="CNZ59" s="28"/>
      <c r="COA59" s="28"/>
      <c r="COB59" s="28"/>
      <c r="COC59" s="28"/>
      <c r="COD59" s="28"/>
      <c r="COE59" s="28"/>
      <c r="COF59" s="28"/>
      <c r="COG59" s="28"/>
      <c r="COH59" s="28"/>
      <c r="COI59" s="28"/>
      <c r="COJ59" s="28"/>
      <c r="COK59" s="28"/>
      <c r="COL59" s="28"/>
      <c r="COM59" s="28"/>
      <c r="CON59" s="28"/>
      <c r="COO59" s="28"/>
      <c r="COP59" s="28"/>
      <c r="COQ59" s="28"/>
      <c r="COR59" s="28"/>
      <c r="COS59" s="28"/>
      <c r="COT59" s="28"/>
      <c r="COU59" s="28"/>
      <c r="COV59" s="28"/>
      <c r="COW59" s="28"/>
      <c r="COX59" s="28"/>
      <c r="COY59" s="28"/>
      <c r="COZ59" s="28"/>
      <c r="CPA59" s="28"/>
      <c r="CPB59" s="28"/>
      <c r="CPC59" s="28"/>
      <c r="CPD59" s="28"/>
      <c r="CPE59" s="28"/>
      <c r="CPF59" s="28"/>
      <c r="CPG59" s="28"/>
      <c r="CPH59" s="28"/>
      <c r="CPI59" s="28"/>
      <c r="CPJ59" s="28"/>
      <c r="CPK59" s="28"/>
      <c r="CPL59" s="28"/>
      <c r="CPM59" s="28"/>
      <c r="CPN59" s="28"/>
      <c r="CPO59" s="28"/>
      <c r="CPP59" s="28"/>
      <c r="CPQ59" s="28"/>
      <c r="CPR59" s="28"/>
      <c r="CPS59" s="28"/>
      <c r="CPT59" s="28"/>
      <c r="CPU59" s="28"/>
      <c r="CPV59" s="28"/>
      <c r="CPW59" s="28"/>
      <c r="CPX59" s="28"/>
      <c r="CPY59" s="28"/>
      <c r="CPZ59" s="28"/>
      <c r="CQA59" s="28"/>
      <c r="CQB59" s="28"/>
      <c r="CQC59" s="28"/>
      <c r="CQD59" s="28"/>
      <c r="CQE59" s="28"/>
      <c r="CQF59" s="28"/>
      <c r="CQG59" s="28"/>
      <c r="CQH59" s="28"/>
      <c r="CQI59" s="28"/>
      <c r="CQJ59" s="28"/>
      <c r="CQK59" s="28"/>
      <c r="CQL59" s="28"/>
      <c r="CQM59" s="28"/>
      <c r="CQN59" s="28"/>
      <c r="CQO59" s="28"/>
      <c r="CQP59" s="28"/>
      <c r="CQQ59" s="28"/>
      <c r="CQR59" s="28"/>
      <c r="CQS59" s="28"/>
      <c r="CQT59" s="28"/>
      <c r="CQU59" s="28"/>
      <c r="CQV59" s="28"/>
      <c r="CQW59" s="28"/>
      <c r="CQX59" s="28"/>
      <c r="CQY59" s="28"/>
      <c r="CQZ59" s="28"/>
      <c r="CRA59" s="28"/>
      <c r="CRB59" s="28"/>
      <c r="CRC59" s="28"/>
      <c r="CRD59" s="28"/>
      <c r="CRE59" s="28"/>
      <c r="CRF59" s="28"/>
      <c r="CRG59" s="28"/>
      <c r="CRH59" s="28"/>
      <c r="CRI59" s="28"/>
      <c r="CRJ59" s="28"/>
      <c r="CRK59" s="28"/>
      <c r="CRL59" s="28"/>
      <c r="CRM59" s="28"/>
      <c r="CRN59" s="28"/>
      <c r="CRO59" s="28"/>
      <c r="CRP59" s="28"/>
      <c r="CRQ59" s="28"/>
      <c r="CRR59" s="28"/>
      <c r="CRS59" s="28"/>
      <c r="CRT59" s="28"/>
      <c r="CRU59" s="28"/>
      <c r="CRV59" s="28"/>
      <c r="CRW59" s="28"/>
      <c r="CRX59" s="28"/>
      <c r="CRY59" s="28"/>
      <c r="CRZ59" s="28"/>
      <c r="CSA59" s="28"/>
      <c r="CSB59" s="28"/>
      <c r="CSC59" s="28"/>
      <c r="CSD59" s="28"/>
      <c r="CSE59" s="28"/>
      <c r="CSF59" s="28"/>
      <c r="CSG59" s="28"/>
      <c r="CSH59" s="28"/>
      <c r="CSI59" s="28"/>
      <c r="CSJ59" s="28"/>
      <c r="CSK59" s="28"/>
      <c r="CSL59" s="28"/>
      <c r="CSM59" s="28"/>
      <c r="CSN59" s="28"/>
      <c r="CSO59" s="28"/>
      <c r="CSP59" s="28"/>
      <c r="CSQ59" s="28"/>
      <c r="CSR59" s="28"/>
      <c r="CSS59" s="28"/>
      <c r="CST59" s="28"/>
      <c r="CSU59" s="28"/>
      <c r="CSV59" s="28"/>
      <c r="CSW59" s="28"/>
      <c r="CSX59" s="28"/>
      <c r="CSY59" s="28"/>
      <c r="CSZ59" s="28"/>
      <c r="CTA59" s="28"/>
      <c r="CTB59" s="28"/>
      <c r="CTC59" s="28"/>
      <c r="CTD59" s="28"/>
      <c r="CTE59" s="28"/>
      <c r="CTF59" s="28"/>
      <c r="CTG59" s="28"/>
      <c r="CTH59" s="28"/>
      <c r="CTI59" s="28"/>
      <c r="CTJ59" s="28"/>
      <c r="CTK59" s="28"/>
      <c r="CTL59" s="28"/>
      <c r="CTM59" s="28"/>
      <c r="CTN59" s="28"/>
      <c r="CTO59" s="28"/>
      <c r="CTP59" s="28"/>
      <c r="CTQ59" s="28"/>
      <c r="CTR59" s="28"/>
      <c r="CTS59" s="28"/>
      <c r="CTT59" s="28"/>
      <c r="CTU59" s="28"/>
      <c r="CTV59" s="28"/>
      <c r="CTW59" s="28"/>
      <c r="CTX59" s="28"/>
      <c r="CTY59" s="28"/>
      <c r="CTZ59" s="28"/>
      <c r="CUA59" s="28"/>
      <c r="CUB59" s="28"/>
      <c r="CUC59" s="28"/>
      <c r="CUD59" s="28"/>
      <c r="CUE59" s="28"/>
      <c r="CUF59" s="28"/>
      <c r="CUG59" s="28"/>
      <c r="CUH59" s="28"/>
      <c r="CUI59" s="28"/>
      <c r="CUJ59" s="28"/>
      <c r="CUK59" s="28"/>
      <c r="CUL59" s="28"/>
      <c r="CUM59" s="28"/>
      <c r="CUN59" s="28"/>
      <c r="CUO59" s="28"/>
      <c r="CUP59" s="28"/>
      <c r="CUQ59" s="28"/>
      <c r="CUR59" s="28"/>
      <c r="CUS59" s="28"/>
      <c r="CUT59" s="28"/>
      <c r="CUU59" s="28"/>
      <c r="CUV59" s="28"/>
      <c r="CUW59" s="28"/>
      <c r="CUX59" s="28"/>
      <c r="CUY59" s="28"/>
      <c r="CUZ59" s="28"/>
      <c r="CVA59" s="28"/>
      <c r="CVB59" s="28"/>
      <c r="CVC59" s="28"/>
      <c r="CVD59" s="28"/>
      <c r="CVE59" s="28"/>
      <c r="CVF59" s="28"/>
      <c r="CVG59" s="28"/>
      <c r="CVH59" s="28"/>
      <c r="CVI59" s="28"/>
      <c r="CVJ59" s="28"/>
      <c r="CVK59" s="28"/>
      <c r="CVL59" s="28"/>
      <c r="CVM59" s="28"/>
      <c r="CVN59" s="28"/>
      <c r="CVO59" s="28"/>
      <c r="CVP59" s="28"/>
      <c r="CVQ59" s="28"/>
      <c r="CVR59" s="28"/>
      <c r="CVS59" s="28"/>
      <c r="CVT59" s="28"/>
      <c r="CVU59" s="28"/>
      <c r="CVV59" s="28"/>
      <c r="CVW59" s="28"/>
      <c r="CVX59" s="28"/>
      <c r="CVY59" s="28"/>
      <c r="CVZ59" s="28"/>
      <c r="CWA59" s="28"/>
      <c r="CWB59" s="28"/>
      <c r="CWC59" s="28"/>
      <c r="CWD59" s="28"/>
      <c r="CWE59" s="28"/>
      <c r="CWF59" s="28"/>
      <c r="CWG59" s="28"/>
      <c r="CWH59" s="28"/>
      <c r="CWI59" s="28"/>
      <c r="CWJ59" s="28"/>
      <c r="CWK59" s="28"/>
      <c r="CWL59" s="28"/>
      <c r="CWM59" s="28"/>
      <c r="CWN59" s="28"/>
      <c r="CWO59" s="28"/>
      <c r="CWP59" s="28"/>
      <c r="CWQ59" s="28"/>
      <c r="CWR59" s="28"/>
      <c r="CWS59" s="28"/>
      <c r="CWT59" s="28"/>
      <c r="CWU59" s="28"/>
      <c r="CWV59" s="28"/>
      <c r="CWW59" s="28"/>
      <c r="CWX59" s="28"/>
      <c r="CWY59" s="28"/>
      <c r="CWZ59" s="28"/>
      <c r="CXA59" s="28"/>
      <c r="CXB59" s="28"/>
      <c r="CXC59" s="28"/>
      <c r="CXD59" s="28"/>
      <c r="CXE59" s="28"/>
      <c r="CXF59" s="28"/>
      <c r="CXG59" s="28"/>
      <c r="CXH59" s="28"/>
      <c r="CXI59" s="28"/>
      <c r="CXJ59" s="28"/>
      <c r="CXK59" s="28"/>
      <c r="CXL59" s="28"/>
      <c r="CXM59" s="28"/>
      <c r="CXN59" s="28"/>
      <c r="CXO59" s="28"/>
      <c r="CXP59" s="28"/>
      <c r="CXQ59" s="28"/>
      <c r="CXR59" s="28"/>
      <c r="CXS59" s="28"/>
      <c r="CXT59" s="28"/>
      <c r="CXU59" s="28"/>
      <c r="CXV59" s="28"/>
      <c r="CXW59" s="28"/>
      <c r="CXX59" s="28"/>
      <c r="CXY59" s="28"/>
      <c r="CXZ59" s="28"/>
      <c r="CYA59" s="28"/>
      <c r="CYB59" s="28"/>
      <c r="CYC59" s="28"/>
      <c r="CYD59" s="28"/>
      <c r="CYE59" s="28"/>
      <c r="CYF59" s="28"/>
      <c r="CYG59" s="28"/>
      <c r="CYH59" s="28"/>
      <c r="CYI59" s="28"/>
      <c r="CYJ59" s="28"/>
      <c r="CYK59" s="28"/>
      <c r="CYL59" s="28"/>
      <c r="CYM59" s="28"/>
      <c r="CYN59" s="28"/>
      <c r="CYO59" s="28"/>
      <c r="CYP59" s="28"/>
      <c r="CYQ59" s="28"/>
      <c r="CYR59" s="28"/>
      <c r="CYS59" s="28"/>
      <c r="CYT59" s="28"/>
      <c r="CYU59" s="28"/>
      <c r="CYV59" s="28"/>
      <c r="CYW59" s="28"/>
      <c r="CYX59" s="28"/>
      <c r="CYY59" s="28"/>
      <c r="CYZ59" s="28"/>
      <c r="CZA59" s="28"/>
      <c r="CZB59" s="28"/>
      <c r="CZC59" s="28"/>
      <c r="CZD59" s="28"/>
      <c r="CZE59" s="28"/>
      <c r="CZF59" s="28"/>
      <c r="CZG59" s="28"/>
      <c r="CZH59" s="28"/>
      <c r="CZI59" s="28"/>
      <c r="CZJ59" s="28"/>
      <c r="CZK59" s="28"/>
      <c r="CZL59" s="28"/>
      <c r="CZM59" s="28"/>
      <c r="CZN59" s="28"/>
      <c r="CZO59" s="28"/>
      <c r="CZP59" s="28"/>
      <c r="CZQ59" s="28"/>
      <c r="CZR59" s="28"/>
      <c r="CZS59" s="28"/>
      <c r="CZT59" s="28"/>
      <c r="CZU59" s="28"/>
      <c r="CZV59" s="28"/>
      <c r="CZW59" s="28"/>
      <c r="CZX59" s="28"/>
      <c r="CZY59" s="28"/>
      <c r="CZZ59" s="28"/>
      <c r="DAA59" s="28"/>
      <c r="DAB59" s="28"/>
      <c r="DAC59" s="28"/>
      <c r="DAD59" s="28"/>
      <c r="DAE59" s="28"/>
      <c r="DAF59" s="28"/>
      <c r="DAG59" s="28"/>
      <c r="DAH59" s="28"/>
      <c r="DAI59" s="28"/>
      <c r="DAJ59" s="28"/>
      <c r="DAK59" s="28"/>
      <c r="DAL59" s="28"/>
      <c r="DAM59" s="28"/>
      <c r="DAN59" s="28"/>
      <c r="DAO59" s="28"/>
      <c r="DAP59" s="28"/>
      <c r="DAQ59" s="28"/>
      <c r="DAR59" s="28"/>
      <c r="DAS59" s="28"/>
      <c r="DAT59" s="28"/>
      <c r="DAU59" s="28"/>
      <c r="DAV59" s="28"/>
      <c r="DAW59" s="28"/>
      <c r="DAX59" s="28"/>
      <c r="DAY59" s="28"/>
      <c r="DAZ59" s="28"/>
      <c r="DBA59" s="28"/>
      <c r="DBB59" s="28"/>
      <c r="DBC59" s="28"/>
      <c r="DBD59" s="28"/>
      <c r="DBE59" s="28"/>
      <c r="DBF59" s="28"/>
      <c r="DBG59" s="28"/>
      <c r="DBH59" s="28"/>
      <c r="DBI59" s="28"/>
      <c r="DBJ59" s="28"/>
      <c r="DBK59" s="28"/>
      <c r="DBL59" s="28"/>
      <c r="DBM59" s="28"/>
      <c r="DBN59" s="28"/>
      <c r="DBO59" s="28"/>
      <c r="DBP59" s="28"/>
      <c r="DBQ59" s="28"/>
      <c r="DBR59" s="28"/>
      <c r="DBS59" s="28"/>
      <c r="DBT59" s="28"/>
      <c r="DBU59" s="28"/>
      <c r="DBV59" s="28"/>
      <c r="DBW59" s="28"/>
      <c r="DBX59" s="28"/>
      <c r="DBY59" s="28"/>
      <c r="DBZ59" s="28"/>
      <c r="DCA59" s="28"/>
      <c r="DCB59" s="28"/>
      <c r="DCC59" s="28"/>
      <c r="DCD59" s="28"/>
      <c r="DCE59" s="28"/>
      <c r="DCF59" s="28"/>
      <c r="DCG59" s="28"/>
      <c r="DCH59" s="28"/>
      <c r="DCI59" s="28"/>
      <c r="DCJ59" s="28"/>
      <c r="DCK59" s="28"/>
      <c r="DCL59" s="28"/>
      <c r="DCM59" s="28"/>
      <c r="DCN59" s="28"/>
      <c r="DCO59" s="28"/>
      <c r="DCP59" s="28"/>
      <c r="DCQ59" s="28"/>
      <c r="DCR59" s="28"/>
      <c r="DCS59" s="28"/>
      <c r="DCT59" s="28"/>
      <c r="DCU59" s="28"/>
      <c r="DCV59" s="28"/>
      <c r="DCW59" s="28"/>
      <c r="DCX59" s="28"/>
      <c r="DCY59" s="28"/>
      <c r="DCZ59" s="28"/>
      <c r="DDA59" s="28"/>
      <c r="DDB59" s="28"/>
      <c r="DDC59" s="28"/>
      <c r="DDD59" s="28"/>
      <c r="DDE59" s="28"/>
      <c r="DDF59" s="28"/>
      <c r="DDG59" s="28"/>
      <c r="DDH59" s="28"/>
      <c r="DDI59" s="28"/>
      <c r="DDJ59" s="28"/>
      <c r="DDK59" s="28"/>
      <c r="DDL59" s="28"/>
      <c r="DDM59" s="28"/>
      <c r="DDN59" s="28"/>
      <c r="DDO59" s="28"/>
      <c r="DDP59" s="28"/>
      <c r="DDQ59" s="28"/>
      <c r="DDR59" s="28"/>
      <c r="DDS59" s="28"/>
      <c r="DDT59" s="28"/>
      <c r="DDU59" s="28"/>
      <c r="DDV59" s="28"/>
      <c r="DDW59" s="28"/>
      <c r="DDX59" s="28"/>
      <c r="DDY59" s="28"/>
      <c r="DDZ59" s="28"/>
      <c r="DEA59" s="28"/>
      <c r="DEB59" s="28"/>
      <c r="DEC59" s="28"/>
      <c r="DED59" s="28"/>
      <c r="DEE59" s="28"/>
      <c r="DEF59" s="28"/>
      <c r="DEG59" s="28"/>
      <c r="DEH59" s="28"/>
      <c r="DEI59" s="28"/>
      <c r="DEJ59" s="28"/>
      <c r="DEK59" s="28"/>
      <c r="DEL59" s="28"/>
      <c r="DEM59" s="28"/>
      <c r="DEN59" s="28"/>
      <c r="DEO59" s="28"/>
      <c r="DEP59" s="28"/>
      <c r="DEQ59" s="28"/>
      <c r="DER59" s="28"/>
      <c r="DES59" s="28"/>
      <c r="DET59" s="28"/>
      <c r="DEU59" s="28"/>
      <c r="DEV59" s="28"/>
      <c r="DEW59" s="28"/>
      <c r="DEX59" s="28"/>
      <c r="DEY59" s="28"/>
      <c r="DEZ59" s="28"/>
      <c r="DFA59" s="28"/>
      <c r="DFB59" s="28"/>
      <c r="DFC59" s="28"/>
      <c r="DFD59" s="28"/>
      <c r="DFE59" s="28"/>
      <c r="DFF59" s="28"/>
      <c r="DFG59" s="28"/>
      <c r="DFH59" s="28"/>
      <c r="DFI59" s="28"/>
      <c r="DFJ59" s="28"/>
      <c r="DFK59" s="28"/>
      <c r="DFL59" s="28"/>
      <c r="DFM59" s="28"/>
      <c r="DFN59" s="28"/>
      <c r="DFO59" s="28"/>
      <c r="DFP59" s="28"/>
      <c r="DFQ59" s="28"/>
      <c r="DFR59" s="28"/>
      <c r="DFS59" s="28"/>
      <c r="DFT59" s="28"/>
      <c r="DFU59" s="28"/>
      <c r="DFV59" s="28"/>
      <c r="DFW59" s="28"/>
      <c r="DFX59" s="28"/>
      <c r="DFY59" s="28"/>
      <c r="DFZ59" s="28"/>
      <c r="DGA59" s="28"/>
      <c r="DGB59" s="28"/>
      <c r="DGC59" s="28"/>
      <c r="DGD59" s="28"/>
      <c r="DGE59" s="28"/>
      <c r="DGF59" s="28"/>
      <c r="DGG59" s="28"/>
      <c r="DGH59" s="28"/>
      <c r="DGI59" s="28"/>
      <c r="DGJ59" s="28"/>
      <c r="DGK59" s="28"/>
      <c r="DGL59" s="28"/>
      <c r="DGM59" s="28"/>
      <c r="DGN59" s="28"/>
      <c r="DGO59" s="28"/>
      <c r="DGP59" s="28"/>
      <c r="DGQ59" s="28"/>
      <c r="DGR59" s="28"/>
      <c r="DGS59" s="28"/>
      <c r="DGT59" s="28"/>
      <c r="DGU59" s="28"/>
      <c r="DGV59" s="28"/>
      <c r="DGW59" s="28"/>
      <c r="DGX59" s="28"/>
      <c r="DGY59" s="28"/>
      <c r="DGZ59" s="28"/>
      <c r="DHA59" s="28"/>
      <c r="DHB59" s="28"/>
      <c r="DHC59" s="28"/>
      <c r="DHD59" s="28"/>
      <c r="DHE59" s="28"/>
      <c r="DHF59" s="28"/>
      <c r="DHG59" s="28"/>
      <c r="DHH59" s="28"/>
      <c r="DHI59" s="28"/>
      <c r="DHJ59" s="28"/>
      <c r="DHK59" s="28"/>
      <c r="DHL59" s="28"/>
      <c r="DHM59" s="28"/>
      <c r="DHN59" s="28"/>
      <c r="DHO59" s="28"/>
      <c r="DHP59" s="28"/>
      <c r="DHQ59" s="28"/>
      <c r="DHR59" s="28"/>
      <c r="DHS59" s="28"/>
      <c r="DHT59" s="28"/>
      <c r="DHU59" s="28"/>
      <c r="DHV59" s="28"/>
      <c r="DHW59" s="28"/>
      <c r="DHX59" s="28"/>
      <c r="DHY59" s="28"/>
      <c r="DHZ59" s="28"/>
      <c r="DIA59" s="28"/>
      <c r="DIB59" s="28"/>
      <c r="DIC59" s="28"/>
      <c r="DID59" s="28"/>
      <c r="DIE59" s="28"/>
      <c r="DIF59" s="28"/>
      <c r="DIG59" s="28"/>
      <c r="DIH59" s="28"/>
      <c r="DII59" s="28"/>
      <c r="DIJ59" s="28"/>
      <c r="DIK59" s="28"/>
      <c r="DIL59" s="28"/>
      <c r="DIM59" s="28"/>
      <c r="DIN59" s="28"/>
      <c r="DIO59" s="28"/>
      <c r="DIP59" s="28"/>
      <c r="DIQ59" s="28"/>
      <c r="DIR59" s="28"/>
      <c r="DIS59" s="28"/>
      <c r="DIT59" s="28"/>
      <c r="DIU59" s="28"/>
      <c r="DIV59" s="28"/>
      <c r="DIW59" s="28"/>
      <c r="DIX59" s="28"/>
      <c r="DIY59" s="28"/>
      <c r="DIZ59" s="28"/>
      <c r="DJA59" s="28"/>
      <c r="DJB59" s="28"/>
      <c r="DJC59" s="28"/>
      <c r="DJD59" s="28"/>
      <c r="DJE59" s="28"/>
      <c r="DJF59" s="28"/>
      <c r="DJG59" s="28"/>
      <c r="DJH59" s="28"/>
      <c r="DJI59" s="28"/>
      <c r="DJJ59" s="28"/>
      <c r="DJK59" s="28"/>
      <c r="DJL59" s="28"/>
      <c r="DJM59" s="28"/>
      <c r="DJN59" s="28"/>
      <c r="DJO59" s="28"/>
      <c r="DJP59" s="28"/>
      <c r="DJQ59" s="28"/>
      <c r="DJR59" s="28"/>
      <c r="DJS59" s="28"/>
      <c r="DJT59" s="28"/>
      <c r="DJU59" s="28"/>
      <c r="DJV59" s="28"/>
      <c r="DJW59" s="28"/>
      <c r="DJX59" s="28"/>
      <c r="DJY59" s="28"/>
      <c r="DJZ59" s="28"/>
      <c r="DKA59" s="28"/>
      <c r="DKB59" s="28"/>
      <c r="DKC59" s="28"/>
      <c r="DKD59" s="28"/>
      <c r="DKE59" s="28"/>
      <c r="DKF59" s="28"/>
      <c r="DKG59" s="28"/>
      <c r="DKH59" s="28"/>
      <c r="DKI59" s="28"/>
      <c r="DKJ59" s="28"/>
      <c r="DKK59" s="28"/>
      <c r="DKL59" s="28"/>
      <c r="DKM59" s="28"/>
      <c r="DKN59" s="28"/>
      <c r="DKO59" s="28"/>
      <c r="DKP59" s="28"/>
      <c r="DKQ59" s="28"/>
      <c r="DKR59" s="28"/>
      <c r="DKS59" s="28"/>
      <c r="DKT59" s="28"/>
      <c r="DKU59" s="28"/>
      <c r="DKV59" s="28"/>
      <c r="DKW59" s="28"/>
      <c r="DKX59" s="28"/>
      <c r="DKY59" s="28"/>
      <c r="DKZ59" s="28"/>
      <c r="DLA59" s="28"/>
      <c r="DLB59" s="28"/>
      <c r="DLC59" s="28"/>
      <c r="DLD59" s="28"/>
      <c r="DLE59" s="28"/>
      <c r="DLF59" s="28"/>
      <c r="DLG59" s="28"/>
      <c r="DLH59" s="28"/>
      <c r="DLI59" s="28"/>
      <c r="DLJ59" s="28"/>
      <c r="DLK59" s="28"/>
      <c r="DLL59" s="28"/>
      <c r="DLM59" s="28"/>
      <c r="DLN59" s="28"/>
      <c r="DLO59" s="28"/>
      <c r="DLP59" s="28"/>
      <c r="DLQ59" s="28"/>
      <c r="DLR59" s="28"/>
      <c r="DLS59" s="28"/>
      <c r="DLT59" s="28"/>
      <c r="DLU59" s="28"/>
      <c r="DLV59" s="28"/>
      <c r="DLW59" s="28"/>
      <c r="DLX59" s="28"/>
      <c r="DLY59" s="28"/>
      <c r="DLZ59" s="28"/>
      <c r="DMA59" s="28"/>
      <c r="DMB59" s="28"/>
      <c r="DMC59" s="28"/>
      <c r="DMD59" s="28"/>
      <c r="DME59" s="28"/>
      <c r="DMF59" s="28"/>
      <c r="DMG59" s="28"/>
      <c r="DMH59" s="28"/>
      <c r="DMI59" s="28"/>
      <c r="DMJ59" s="28"/>
      <c r="DMK59" s="28"/>
      <c r="DML59" s="28"/>
      <c r="DMM59" s="28"/>
      <c r="DMN59" s="28"/>
      <c r="DMO59" s="28"/>
      <c r="DMP59" s="28"/>
      <c r="DMQ59" s="28"/>
      <c r="DMR59" s="28"/>
      <c r="DMS59" s="28"/>
      <c r="DMT59" s="28"/>
      <c r="DMU59" s="28"/>
      <c r="DMV59" s="28"/>
      <c r="DMW59" s="28"/>
      <c r="DMX59" s="28"/>
      <c r="DMY59" s="28"/>
      <c r="DMZ59" s="28"/>
      <c r="DNA59" s="28"/>
      <c r="DNB59" s="28"/>
      <c r="DNC59" s="28"/>
      <c r="DND59" s="28"/>
      <c r="DNE59" s="28"/>
      <c r="DNF59" s="28"/>
      <c r="DNG59" s="28"/>
      <c r="DNH59" s="28"/>
      <c r="DNI59" s="28"/>
      <c r="DNJ59" s="28"/>
      <c r="DNK59" s="28"/>
      <c r="DNL59" s="28"/>
      <c r="DNM59" s="28"/>
      <c r="DNN59" s="28"/>
      <c r="DNO59" s="28"/>
      <c r="DNP59" s="28"/>
      <c r="DNQ59" s="28"/>
      <c r="DNR59" s="28"/>
      <c r="DNS59" s="28"/>
      <c r="DNT59" s="28"/>
      <c r="DNU59" s="28"/>
      <c r="DNV59" s="28"/>
      <c r="DNW59" s="28"/>
      <c r="DNX59" s="28"/>
      <c r="DNY59" s="28"/>
      <c r="DNZ59" s="28"/>
      <c r="DOA59" s="28"/>
      <c r="DOB59" s="28"/>
      <c r="DOC59" s="28"/>
      <c r="DOD59" s="28"/>
      <c r="DOE59" s="28"/>
      <c r="DOF59" s="28"/>
      <c r="DOG59" s="28"/>
      <c r="DOH59" s="28"/>
      <c r="DOI59" s="28"/>
      <c r="DOJ59" s="28"/>
      <c r="DOK59" s="28"/>
      <c r="DOL59" s="28"/>
      <c r="DOM59" s="28"/>
      <c r="DON59" s="28"/>
      <c r="DOO59" s="28"/>
      <c r="DOP59" s="28"/>
      <c r="DOQ59" s="28"/>
      <c r="DOR59" s="28"/>
      <c r="DOS59" s="28"/>
      <c r="DOT59" s="28"/>
      <c r="DOU59" s="28"/>
      <c r="DOV59" s="28"/>
      <c r="DOW59" s="28"/>
      <c r="DOX59" s="28"/>
      <c r="DOY59" s="28"/>
      <c r="DOZ59" s="28"/>
      <c r="DPA59" s="28"/>
      <c r="DPB59" s="28"/>
      <c r="DPC59" s="28"/>
      <c r="DPD59" s="28"/>
      <c r="DPE59" s="28"/>
      <c r="DPF59" s="28"/>
      <c r="DPG59" s="28"/>
      <c r="DPH59" s="28"/>
      <c r="DPI59" s="28"/>
      <c r="DPJ59" s="28"/>
      <c r="DPK59" s="28"/>
      <c r="DPL59" s="28"/>
      <c r="DPM59" s="28"/>
      <c r="DPN59" s="28"/>
      <c r="DPO59" s="28"/>
      <c r="DPP59" s="28"/>
      <c r="DPQ59" s="28"/>
      <c r="DPR59" s="28"/>
      <c r="DPS59" s="28"/>
      <c r="DPT59" s="28"/>
      <c r="DPU59" s="28"/>
      <c r="DPV59" s="28"/>
      <c r="DPW59" s="28"/>
      <c r="DPX59" s="28"/>
      <c r="DPY59" s="28"/>
      <c r="DPZ59" s="28"/>
      <c r="DQA59" s="28"/>
      <c r="DQB59" s="28"/>
      <c r="DQC59" s="28"/>
      <c r="DQD59" s="28"/>
      <c r="DQE59" s="28"/>
      <c r="DQF59" s="28"/>
      <c r="DQG59" s="28"/>
      <c r="DQH59" s="28"/>
      <c r="DQI59" s="28"/>
      <c r="DQJ59" s="28"/>
      <c r="DQK59" s="28"/>
      <c r="DQL59" s="28"/>
      <c r="DQM59" s="28"/>
      <c r="DQN59" s="28"/>
      <c r="DQO59" s="28"/>
      <c r="DQP59" s="28"/>
      <c r="DQQ59" s="28"/>
      <c r="DQR59" s="28"/>
      <c r="DQS59" s="28"/>
      <c r="DQT59" s="28"/>
      <c r="DQU59" s="28"/>
      <c r="DQV59" s="28"/>
      <c r="DQW59" s="28"/>
      <c r="DQX59" s="28"/>
      <c r="DQY59" s="28"/>
      <c r="DQZ59" s="28"/>
      <c r="DRA59" s="28"/>
      <c r="DRB59" s="28"/>
      <c r="DRC59" s="28"/>
      <c r="DRD59" s="28"/>
      <c r="DRE59" s="28"/>
      <c r="DRF59" s="28"/>
      <c r="DRG59" s="28"/>
      <c r="DRH59" s="28"/>
      <c r="DRI59" s="28"/>
      <c r="DRJ59" s="28"/>
      <c r="DRK59" s="28"/>
      <c r="DRL59" s="28"/>
      <c r="DRM59" s="28"/>
      <c r="DRN59" s="28"/>
      <c r="DRO59" s="28"/>
      <c r="DRP59" s="28"/>
      <c r="DRQ59" s="28"/>
      <c r="DRR59" s="28"/>
      <c r="DRS59" s="28"/>
      <c r="DRT59" s="28"/>
      <c r="DRU59" s="28"/>
      <c r="DRV59" s="28"/>
      <c r="DRW59" s="28"/>
      <c r="DRX59" s="28"/>
      <c r="DRY59" s="28"/>
      <c r="DRZ59" s="28"/>
      <c r="DSA59" s="28"/>
      <c r="DSB59" s="28"/>
      <c r="DSC59" s="28"/>
      <c r="DSD59" s="28"/>
      <c r="DSE59" s="28"/>
      <c r="DSF59" s="28"/>
      <c r="DSG59" s="28"/>
      <c r="DSH59" s="28"/>
      <c r="DSI59" s="28"/>
      <c r="DSJ59" s="28"/>
      <c r="DSK59" s="28"/>
      <c r="DSL59" s="28"/>
      <c r="DSM59" s="28"/>
      <c r="DSN59" s="28"/>
      <c r="DSO59" s="28"/>
      <c r="DSP59" s="28"/>
      <c r="DSQ59" s="28"/>
      <c r="DSR59" s="28"/>
      <c r="DSS59" s="28"/>
      <c r="DST59" s="28"/>
      <c r="DSU59" s="28"/>
      <c r="DSV59" s="28"/>
      <c r="DSW59" s="28"/>
      <c r="DSX59" s="28"/>
      <c r="DSY59" s="28"/>
      <c r="DSZ59" s="28"/>
      <c r="DTA59" s="28"/>
      <c r="DTB59" s="28"/>
      <c r="DTC59" s="28"/>
      <c r="DTD59" s="28"/>
      <c r="DTE59" s="28"/>
      <c r="DTF59" s="28"/>
      <c r="DTG59" s="28"/>
      <c r="DTH59" s="28"/>
      <c r="DTI59" s="28"/>
      <c r="DTJ59" s="28"/>
      <c r="DTK59" s="28"/>
      <c r="DTL59" s="28"/>
      <c r="DTM59" s="28"/>
      <c r="DTN59" s="28"/>
      <c r="DTO59" s="28"/>
      <c r="DTP59" s="28"/>
      <c r="DTQ59" s="28"/>
      <c r="DTR59" s="28"/>
      <c r="DTS59" s="28"/>
      <c r="DTT59" s="28"/>
      <c r="DTU59" s="28"/>
      <c r="DTV59" s="28"/>
      <c r="DTW59" s="28"/>
      <c r="DTX59" s="28"/>
      <c r="DTY59" s="28"/>
      <c r="DTZ59" s="28"/>
      <c r="DUA59" s="28"/>
      <c r="DUB59" s="28"/>
      <c r="DUC59" s="28"/>
      <c r="DUD59" s="28"/>
      <c r="DUE59" s="28"/>
      <c r="DUF59" s="28"/>
      <c r="DUG59" s="28"/>
      <c r="DUH59" s="28"/>
      <c r="DUI59" s="28"/>
      <c r="DUJ59" s="28"/>
      <c r="DUK59" s="28"/>
      <c r="DUL59" s="28"/>
      <c r="DUM59" s="28"/>
      <c r="DUN59" s="28"/>
      <c r="DUO59" s="28"/>
      <c r="DUP59" s="28"/>
      <c r="DUQ59" s="28"/>
      <c r="DUR59" s="28"/>
      <c r="DUS59" s="28"/>
      <c r="DUT59" s="28"/>
      <c r="DUU59" s="28"/>
      <c r="DUV59" s="28"/>
      <c r="DUW59" s="28"/>
      <c r="DUX59" s="28"/>
      <c r="DUY59" s="28"/>
      <c r="DUZ59" s="28"/>
      <c r="DVA59" s="28"/>
      <c r="DVB59" s="28"/>
      <c r="DVC59" s="28"/>
      <c r="DVD59" s="28"/>
      <c r="DVE59" s="28"/>
      <c r="DVF59" s="28"/>
      <c r="DVG59" s="28"/>
      <c r="DVH59" s="28"/>
      <c r="DVI59" s="28"/>
      <c r="DVJ59" s="28"/>
      <c r="DVK59" s="28"/>
      <c r="DVL59" s="28"/>
      <c r="DVM59" s="28"/>
      <c r="DVN59" s="28"/>
      <c r="DVO59" s="28"/>
      <c r="DVP59" s="28"/>
      <c r="DVQ59" s="28"/>
      <c r="DVR59" s="28"/>
      <c r="DVS59" s="28"/>
      <c r="DVT59" s="28"/>
      <c r="DVU59" s="28"/>
      <c r="DVV59" s="28"/>
      <c r="DVW59" s="28"/>
      <c r="DVX59" s="28"/>
      <c r="DVY59" s="28"/>
      <c r="DVZ59" s="28"/>
      <c r="DWA59" s="28"/>
      <c r="DWB59" s="28"/>
      <c r="DWC59" s="28"/>
      <c r="DWD59" s="28"/>
      <c r="DWE59" s="28"/>
      <c r="DWF59" s="28"/>
      <c r="DWG59" s="28"/>
      <c r="DWH59" s="28"/>
      <c r="DWI59" s="28"/>
      <c r="DWJ59" s="28"/>
      <c r="DWK59" s="28"/>
      <c r="DWL59" s="28"/>
      <c r="DWM59" s="28"/>
      <c r="DWN59" s="28"/>
      <c r="DWO59" s="28"/>
      <c r="DWP59" s="28"/>
      <c r="DWQ59" s="28"/>
      <c r="DWR59" s="28"/>
      <c r="DWS59" s="28"/>
      <c r="DWT59" s="28"/>
      <c r="DWU59" s="28"/>
      <c r="DWV59" s="28"/>
      <c r="DWW59" s="28"/>
      <c r="DWX59" s="28"/>
      <c r="DWY59" s="28"/>
      <c r="DWZ59" s="28"/>
      <c r="DXA59" s="28"/>
      <c r="DXB59" s="28"/>
      <c r="DXC59" s="28"/>
      <c r="DXD59" s="28"/>
      <c r="DXE59" s="28"/>
      <c r="DXF59" s="28"/>
      <c r="DXG59" s="28"/>
      <c r="DXH59" s="28"/>
      <c r="DXI59" s="28"/>
      <c r="DXJ59" s="28"/>
      <c r="DXK59" s="28"/>
      <c r="DXL59" s="28"/>
      <c r="DXM59" s="28"/>
      <c r="DXN59" s="28"/>
      <c r="DXO59" s="28"/>
      <c r="DXP59" s="28"/>
      <c r="DXQ59" s="28"/>
      <c r="DXR59" s="28"/>
      <c r="DXS59" s="28"/>
      <c r="DXT59" s="28"/>
      <c r="DXU59" s="28"/>
      <c r="DXV59" s="28"/>
      <c r="DXW59" s="28"/>
      <c r="DXX59" s="28"/>
      <c r="DXY59" s="28"/>
      <c r="DXZ59" s="28"/>
      <c r="DYA59" s="28"/>
      <c r="DYB59" s="28"/>
      <c r="DYC59" s="28"/>
      <c r="DYD59" s="28"/>
      <c r="DYE59" s="28"/>
      <c r="DYF59" s="28"/>
      <c r="DYG59" s="28"/>
      <c r="DYH59" s="28"/>
      <c r="DYI59" s="28"/>
      <c r="DYJ59" s="28"/>
      <c r="DYK59" s="28"/>
      <c r="DYL59" s="28"/>
      <c r="DYM59" s="28"/>
      <c r="DYN59" s="28"/>
      <c r="DYO59" s="28"/>
      <c r="DYP59" s="28"/>
      <c r="DYQ59" s="28"/>
      <c r="DYR59" s="28"/>
      <c r="DYS59" s="28"/>
      <c r="DYT59" s="28"/>
      <c r="DYU59" s="28"/>
      <c r="DYV59" s="28"/>
      <c r="DYW59" s="28"/>
      <c r="DYX59" s="28"/>
      <c r="DYY59" s="28"/>
      <c r="DYZ59" s="28"/>
      <c r="DZA59" s="28"/>
      <c r="DZB59" s="28"/>
      <c r="DZC59" s="28"/>
      <c r="DZD59" s="28"/>
      <c r="DZE59" s="28"/>
      <c r="DZF59" s="28"/>
      <c r="DZG59" s="28"/>
      <c r="DZH59" s="28"/>
      <c r="DZI59" s="28"/>
      <c r="DZJ59" s="28"/>
      <c r="DZK59" s="28"/>
      <c r="DZL59" s="28"/>
      <c r="DZM59" s="28"/>
      <c r="DZN59" s="28"/>
      <c r="DZO59" s="28"/>
      <c r="DZP59" s="28"/>
      <c r="DZQ59" s="28"/>
      <c r="DZR59" s="28"/>
      <c r="DZS59" s="28"/>
      <c r="DZT59" s="28"/>
      <c r="DZU59" s="28"/>
      <c r="DZV59" s="28"/>
      <c r="DZW59" s="28"/>
      <c r="DZX59" s="28"/>
      <c r="DZY59" s="28"/>
      <c r="DZZ59" s="28"/>
      <c r="EAA59" s="28"/>
      <c r="EAB59" s="28"/>
      <c r="EAC59" s="28"/>
      <c r="EAD59" s="28"/>
      <c r="EAE59" s="28"/>
      <c r="EAF59" s="28"/>
      <c r="EAG59" s="28"/>
      <c r="EAH59" s="28"/>
      <c r="EAI59" s="28"/>
      <c r="EAJ59" s="28"/>
      <c r="EAK59" s="28"/>
      <c r="EAL59" s="28"/>
      <c r="EAM59" s="28"/>
      <c r="EAN59" s="28"/>
      <c r="EAO59" s="28"/>
      <c r="EAP59" s="28"/>
      <c r="EAQ59" s="28"/>
      <c r="EAR59" s="28"/>
      <c r="EAS59" s="28"/>
      <c r="EAT59" s="28"/>
      <c r="EAU59" s="28"/>
      <c r="EAV59" s="28"/>
      <c r="EAW59" s="28"/>
      <c r="EAX59" s="28"/>
      <c r="EAY59" s="28"/>
      <c r="EAZ59" s="28"/>
      <c r="EBA59" s="28"/>
      <c r="EBB59" s="28"/>
      <c r="EBC59" s="28"/>
      <c r="EBD59" s="28"/>
      <c r="EBE59" s="28"/>
      <c r="EBF59" s="28"/>
      <c r="EBG59" s="28"/>
      <c r="EBH59" s="28"/>
      <c r="EBI59" s="28"/>
      <c r="EBJ59" s="28"/>
      <c r="EBK59" s="28"/>
      <c r="EBL59" s="28"/>
      <c r="EBM59" s="28"/>
      <c r="EBN59" s="28"/>
      <c r="EBO59" s="28"/>
      <c r="EBP59" s="28"/>
      <c r="EBQ59" s="28"/>
      <c r="EBR59" s="28"/>
      <c r="EBS59" s="28"/>
      <c r="EBT59" s="28"/>
      <c r="EBU59" s="28"/>
      <c r="EBV59" s="28"/>
      <c r="EBW59" s="28"/>
      <c r="EBX59" s="28"/>
      <c r="EBY59" s="28"/>
      <c r="EBZ59" s="28"/>
      <c r="ECA59" s="28"/>
      <c r="ECB59" s="28"/>
      <c r="ECC59" s="28"/>
      <c r="ECD59" s="28"/>
      <c r="ECE59" s="28"/>
      <c r="ECF59" s="28"/>
      <c r="ECG59" s="28"/>
      <c r="ECH59" s="28"/>
      <c r="ECI59" s="28"/>
      <c r="ECJ59" s="28"/>
      <c r="ECK59" s="28"/>
      <c r="ECL59" s="28"/>
      <c r="ECM59" s="28"/>
      <c r="ECN59" s="28"/>
      <c r="ECO59" s="28"/>
      <c r="ECP59" s="28"/>
      <c r="ECQ59" s="28"/>
      <c r="ECR59" s="28"/>
      <c r="ECS59" s="28"/>
      <c r="ECT59" s="28"/>
      <c r="ECU59" s="28"/>
      <c r="ECV59" s="28"/>
      <c r="ECW59" s="28"/>
      <c r="ECX59" s="28"/>
      <c r="ECY59" s="28"/>
      <c r="ECZ59" s="28"/>
      <c r="EDA59" s="28"/>
      <c r="EDB59" s="28"/>
      <c r="EDC59" s="28"/>
      <c r="EDD59" s="28"/>
      <c r="EDE59" s="28"/>
      <c r="EDF59" s="28"/>
      <c r="EDG59" s="28"/>
      <c r="EDH59" s="28"/>
      <c r="EDI59" s="28"/>
      <c r="EDJ59" s="28"/>
      <c r="EDK59" s="28"/>
      <c r="EDL59" s="28"/>
      <c r="EDM59" s="28"/>
      <c r="EDN59" s="28"/>
      <c r="EDO59" s="28"/>
      <c r="EDP59" s="28"/>
      <c r="EDQ59" s="28"/>
      <c r="EDR59" s="28"/>
      <c r="EDS59" s="28"/>
      <c r="EDT59" s="28"/>
      <c r="EDU59" s="28"/>
      <c r="EDV59" s="28"/>
      <c r="EDW59" s="28"/>
      <c r="EDX59" s="28"/>
      <c r="EDY59" s="28"/>
      <c r="EDZ59" s="28"/>
      <c r="EEA59" s="28"/>
      <c r="EEB59" s="28"/>
      <c r="EEC59" s="28"/>
      <c r="EED59" s="28"/>
      <c r="EEE59" s="28"/>
      <c r="EEF59" s="28"/>
      <c r="EEG59" s="28"/>
      <c r="EEH59" s="28"/>
      <c r="EEI59" s="28"/>
      <c r="EEJ59" s="28"/>
      <c r="EEK59" s="28"/>
      <c r="EEL59" s="28"/>
      <c r="EEM59" s="28"/>
      <c r="EEN59" s="28"/>
      <c r="EEO59" s="28"/>
      <c r="EEP59" s="28"/>
      <c r="EEQ59" s="28"/>
      <c r="EER59" s="28"/>
      <c r="EES59" s="28"/>
      <c r="EET59" s="28"/>
      <c r="EEU59" s="28"/>
      <c r="EEV59" s="28"/>
      <c r="EEW59" s="28"/>
      <c r="EEX59" s="28"/>
      <c r="EEY59" s="28"/>
      <c r="EEZ59" s="28"/>
      <c r="EFA59" s="28"/>
      <c r="EFB59" s="28"/>
      <c r="EFC59" s="28"/>
      <c r="EFD59" s="28"/>
      <c r="EFE59" s="28"/>
      <c r="EFF59" s="28"/>
      <c r="EFG59" s="28"/>
      <c r="EFH59" s="28"/>
      <c r="EFI59" s="28"/>
      <c r="EFJ59" s="28"/>
      <c r="EFK59" s="28"/>
      <c r="EFL59" s="28"/>
      <c r="EFM59" s="28"/>
      <c r="EFN59" s="28"/>
      <c r="EFO59" s="28"/>
      <c r="EFP59" s="28"/>
      <c r="EFQ59" s="28"/>
      <c r="EFR59" s="28"/>
      <c r="EFS59" s="28"/>
      <c r="EFT59" s="28"/>
      <c r="EFU59" s="28"/>
      <c r="EFV59" s="28"/>
      <c r="EFW59" s="28"/>
      <c r="EFX59" s="28"/>
      <c r="EFY59" s="28"/>
      <c r="EFZ59" s="28"/>
      <c r="EGA59" s="28"/>
      <c r="EGB59" s="28"/>
      <c r="EGC59" s="28"/>
      <c r="EGD59" s="28"/>
      <c r="EGE59" s="28"/>
      <c r="EGF59" s="28"/>
      <c r="EGG59" s="28"/>
      <c r="EGH59" s="28"/>
      <c r="EGI59" s="28"/>
      <c r="EGJ59" s="28"/>
      <c r="EGK59" s="28"/>
      <c r="EGL59" s="28"/>
      <c r="EGM59" s="28"/>
      <c r="EGN59" s="28"/>
      <c r="EGO59" s="28"/>
      <c r="EGP59" s="28"/>
      <c r="EGQ59" s="28"/>
      <c r="EGR59" s="28"/>
      <c r="EGS59" s="28"/>
      <c r="EGT59" s="28"/>
      <c r="EGU59" s="28"/>
      <c r="EGV59" s="28"/>
      <c r="EGW59" s="28"/>
      <c r="EGX59" s="28"/>
      <c r="EGY59" s="28"/>
      <c r="EGZ59" s="28"/>
      <c r="EHA59" s="28"/>
      <c r="EHB59" s="28"/>
      <c r="EHC59" s="28"/>
      <c r="EHD59" s="28"/>
      <c r="EHE59" s="28"/>
      <c r="EHF59" s="28"/>
      <c r="EHG59" s="28"/>
      <c r="EHH59" s="28"/>
      <c r="EHI59" s="28"/>
      <c r="EHJ59" s="28"/>
      <c r="EHK59" s="28"/>
      <c r="EHL59" s="28"/>
      <c r="EHM59" s="28"/>
      <c r="EHN59" s="28"/>
      <c r="EHO59" s="28"/>
      <c r="EHP59" s="28"/>
      <c r="EHQ59" s="28"/>
      <c r="EHR59" s="28"/>
      <c r="EHS59" s="28"/>
      <c r="EHT59" s="28"/>
      <c r="EHU59" s="28"/>
      <c r="EHV59" s="28"/>
      <c r="EHW59" s="28"/>
      <c r="EHX59" s="28"/>
      <c r="EHY59" s="28"/>
      <c r="EHZ59" s="28"/>
      <c r="EIA59" s="28"/>
      <c r="EIB59" s="28"/>
      <c r="EIC59" s="28"/>
      <c r="EID59" s="28"/>
      <c r="EIE59" s="28"/>
      <c r="EIF59" s="28"/>
      <c r="EIG59" s="28"/>
      <c r="EIH59" s="28"/>
      <c r="EII59" s="28"/>
      <c r="EIJ59" s="28"/>
      <c r="EIK59" s="28"/>
      <c r="EIL59" s="28"/>
      <c r="EIM59" s="28"/>
      <c r="EIN59" s="28"/>
      <c r="EIO59" s="28"/>
      <c r="EIP59" s="28"/>
      <c r="EIQ59" s="28"/>
      <c r="EIR59" s="28"/>
      <c r="EIS59" s="28"/>
      <c r="EIT59" s="28"/>
      <c r="EIU59" s="28"/>
      <c r="EIV59" s="28"/>
      <c r="EIW59" s="28"/>
      <c r="EIX59" s="28"/>
      <c r="EIY59" s="28"/>
      <c r="EIZ59" s="28"/>
      <c r="EJA59" s="28"/>
      <c r="EJB59" s="28"/>
      <c r="EJC59" s="28"/>
      <c r="EJD59" s="28"/>
      <c r="EJE59" s="28"/>
      <c r="EJF59" s="28"/>
      <c r="EJG59" s="28"/>
      <c r="EJH59" s="28"/>
      <c r="EJI59" s="28"/>
      <c r="EJJ59" s="28"/>
      <c r="EJK59" s="28"/>
      <c r="EJL59" s="28"/>
      <c r="EJM59" s="28"/>
      <c r="EJN59" s="28"/>
      <c r="EJO59" s="28"/>
      <c r="EJP59" s="28"/>
      <c r="EJQ59" s="28"/>
      <c r="EJR59" s="28"/>
      <c r="EJS59" s="28"/>
      <c r="EJT59" s="28"/>
      <c r="EJU59" s="28"/>
      <c r="EJV59" s="28"/>
      <c r="EJW59" s="28"/>
      <c r="EJX59" s="28"/>
      <c r="EJY59" s="28"/>
      <c r="EJZ59" s="28"/>
      <c r="EKA59" s="28"/>
      <c r="EKB59" s="28"/>
      <c r="EKC59" s="28"/>
      <c r="EKD59" s="28"/>
      <c r="EKE59" s="28"/>
      <c r="EKF59" s="28"/>
      <c r="EKG59" s="28"/>
      <c r="EKH59" s="28"/>
      <c r="EKI59" s="28"/>
      <c r="EKJ59" s="28"/>
      <c r="EKK59" s="28"/>
      <c r="EKL59" s="28"/>
      <c r="EKM59" s="28"/>
      <c r="EKN59" s="28"/>
      <c r="EKO59" s="28"/>
      <c r="EKP59" s="28"/>
      <c r="EKQ59" s="28"/>
      <c r="EKR59" s="28"/>
      <c r="EKS59" s="28"/>
      <c r="EKT59" s="28"/>
      <c r="EKU59" s="28"/>
      <c r="EKV59" s="28"/>
      <c r="EKW59" s="28"/>
      <c r="EKX59" s="28"/>
      <c r="EKY59" s="28"/>
      <c r="EKZ59" s="28"/>
      <c r="ELA59" s="28"/>
      <c r="ELB59" s="28"/>
      <c r="ELC59" s="28"/>
      <c r="ELD59" s="28"/>
      <c r="ELE59" s="28"/>
      <c r="ELF59" s="28"/>
      <c r="ELG59" s="28"/>
      <c r="ELH59" s="28"/>
      <c r="ELI59" s="28"/>
      <c r="ELJ59" s="28"/>
      <c r="ELK59" s="28"/>
      <c r="ELL59" s="28"/>
      <c r="ELM59" s="28"/>
      <c r="ELN59" s="28"/>
      <c r="ELO59" s="28"/>
      <c r="ELP59" s="28"/>
      <c r="ELQ59" s="28"/>
      <c r="ELR59" s="28"/>
      <c r="ELS59" s="28"/>
      <c r="ELT59" s="28"/>
      <c r="ELU59" s="28"/>
      <c r="ELV59" s="28"/>
      <c r="ELW59" s="28"/>
      <c r="ELX59" s="28"/>
      <c r="ELY59" s="28"/>
      <c r="ELZ59" s="28"/>
      <c r="EMA59" s="28"/>
      <c r="EMB59" s="28"/>
      <c r="EMC59" s="28"/>
      <c r="EMD59" s="28"/>
      <c r="EME59" s="28"/>
      <c r="EMF59" s="28"/>
      <c r="EMG59" s="28"/>
      <c r="EMH59" s="28"/>
      <c r="EMI59" s="28"/>
      <c r="EMJ59" s="28"/>
      <c r="EMK59" s="28"/>
      <c r="EML59" s="28"/>
      <c r="EMM59" s="28"/>
      <c r="EMN59" s="28"/>
      <c r="EMO59" s="28"/>
      <c r="EMP59" s="28"/>
      <c r="EMQ59" s="28"/>
      <c r="EMR59" s="28"/>
      <c r="EMS59" s="28"/>
      <c r="EMT59" s="28"/>
      <c r="EMU59" s="28"/>
      <c r="EMV59" s="28"/>
      <c r="EMW59" s="28"/>
      <c r="EMX59" s="28"/>
      <c r="EMY59" s="28"/>
      <c r="EMZ59" s="28"/>
      <c r="ENA59" s="28"/>
      <c r="ENB59" s="28"/>
      <c r="ENC59" s="28"/>
      <c r="END59" s="28"/>
      <c r="ENE59" s="28"/>
      <c r="ENF59" s="28"/>
      <c r="ENG59" s="28"/>
      <c r="ENH59" s="28"/>
      <c r="ENI59" s="28"/>
      <c r="ENJ59" s="28"/>
      <c r="ENK59" s="28"/>
      <c r="ENL59" s="28"/>
      <c r="ENM59" s="28"/>
      <c r="ENN59" s="28"/>
      <c r="ENO59" s="28"/>
      <c r="ENP59" s="28"/>
      <c r="ENQ59" s="28"/>
      <c r="ENR59" s="28"/>
      <c r="ENS59" s="28"/>
      <c r="ENT59" s="28"/>
      <c r="ENU59" s="28"/>
      <c r="ENV59" s="28"/>
      <c r="ENW59" s="28"/>
      <c r="ENX59" s="28"/>
      <c r="ENY59" s="28"/>
      <c r="ENZ59" s="28"/>
      <c r="EOA59" s="28"/>
      <c r="EOB59" s="28"/>
      <c r="EOC59" s="28"/>
      <c r="EOD59" s="28"/>
      <c r="EOE59" s="28"/>
      <c r="EOF59" s="28"/>
      <c r="EOG59" s="28"/>
      <c r="EOH59" s="28"/>
      <c r="EOI59" s="28"/>
      <c r="EOJ59" s="28"/>
      <c r="EOK59" s="28"/>
      <c r="EOL59" s="28"/>
      <c r="EOM59" s="28"/>
      <c r="EON59" s="28"/>
      <c r="EOO59" s="28"/>
      <c r="EOP59" s="28"/>
      <c r="EOQ59" s="28"/>
      <c r="EOR59" s="28"/>
      <c r="EOS59" s="28"/>
      <c r="EOT59" s="28"/>
      <c r="EOU59" s="28"/>
      <c r="EOV59" s="28"/>
      <c r="EOW59" s="28"/>
      <c r="EOX59" s="28"/>
      <c r="EOY59" s="28"/>
      <c r="EOZ59" s="28"/>
      <c r="EPA59" s="28"/>
      <c r="EPB59" s="28"/>
      <c r="EPC59" s="28"/>
      <c r="EPD59" s="28"/>
      <c r="EPE59" s="28"/>
      <c r="EPF59" s="28"/>
      <c r="EPG59" s="28"/>
      <c r="EPH59" s="28"/>
      <c r="EPI59" s="28"/>
      <c r="EPJ59" s="28"/>
      <c r="EPK59" s="28"/>
      <c r="EPL59" s="28"/>
      <c r="EPM59" s="28"/>
      <c r="EPN59" s="28"/>
      <c r="EPO59" s="28"/>
      <c r="EPP59" s="28"/>
      <c r="EPQ59" s="28"/>
      <c r="EPR59" s="28"/>
      <c r="EPS59" s="28"/>
      <c r="EPT59" s="28"/>
      <c r="EPU59" s="28"/>
      <c r="EPV59" s="28"/>
      <c r="EPW59" s="28"/>
      <c r="EPX59" s="28"/>
      <c r="EPY59" s="28"/>
      <c r="EPZ59" s="28"/>
      <c r="EQA59" s="28"/>
      <c r="EQB59" s="28"/>
      <c r="EQC59" s="28"/>
      <c r="EQD59" s="28"/>
      <c r="EQE59" s="28"/>
      <c r="EQF59" s="28"/>
      <c r="EQG59" s="28"/>
      <c r="EQH59" s="28"/>
      <c r="EQI59" s="28"/>
      <c r="EQJ59" s="28"/>
      <c r="EQK59" s="28"/>
      <c r="EQL59" s="28"/>
      <c r="EQM59" s="28"/>
      <c r="EQN59" s="28"/>
      <c r="EQO59" s="28"/>
      <c r="EQP59" s="28"/>
      <c r="EQQ59" s="28"/>
      <c r="EQR59" s="28"/>
      <c r="EQS59" s="28"/>
      <c r="EQT59" s="28"/>
      <c r="EQU59" s="28"/>
      <c r="EQV59" s="28"/>
      <c r="EQW59" s="28"/>
      <c r="EQX59" s="28"/>
      <c r="EQY59" s="28"/>
      <c r="EQZ59" s="28"/>
      <c r="ERA59" s="28"/>
      <c r="ERB59" s="28"/>
      <c r="ERC59" s="28"/>
      <c r="ERD59" s="28"/>
      <c r="ERE59" s="28"/>
      <c r="ERF59" s="28"/>
      <c r="ERG59" s="28"/>
      <c r="ERH59" s="28"/>
      <c r="ERI59" s="28"/>
      <c r="ERJ59" s="28"/>
      <c r="ERK59" s="28"/>
      <c r="ERL59" s="28"/>
      <c r="ERM59" s="28"/>
      <c r="ERN59" s="28"/>
      <c r="ERO59" s="28"/>
      <c r="ERP59" s="28"/>
      <c r="ERQ59" s="28"/>
      <c r="ERR59" s="28"/>
      <c r="ERS59" s="28"/>
      <c r="ERT59" s="28"/>
      <c r="ERU59" s="28"/>
      <c r="ERV59" s="28"/>
      <c r="ERW59" s="28"/>
      <c r="ERX59" s="28"/>
      <c r="ERY59" s="28"/>
      <c r="ERZ59" s="28"/>
      <c r="ESA59" s="28"/>
      <c r="ESB59" s="28"/>
      <c r="ESC59" s="28"/>
      <c r="ESD59" s="28"/>
      <c r="ESE59" s="28"/>
      <c r="ESF59" s="28"/>
      <c r="ESG59" s="28"/>
      <c r="ESH59" s="28"/>
      <c r="ESI59" s="28"/>
      <c r="ESJ59" s="28"/>
      <c r="ESK59" s="28"/>
      <c r="ESL59" s="28"/>
      <c r="ESM59" s="28"/>
      <c r="ESN59" s="28"/>
      <c r="ESO59" s="28"/>
      <c r="ESP59" s="28"/>
      <c r="ESQ59" s="28"/>
      <c r="ESR59" s="28"/>
      <c r="ESS59" s="28"/>
      <c r="EST59" s="28"/>
      <c r="ESU59" s="28"/>
      <c r="ESV59" s="28"/>
      <c r="ESW59" s="28"/>
      <c r="ESX59" s="28"/>
      <c r="ESY59" s="28"/>
      <c r="ESZ59" s="28"/>
      <c r="ETA59" s="28"/>
      <c r="ETB59" s="28"/>
      <c r="ETC59" s="28"/>
      <c r="ETD59" s="28"/>
      <c r="ETE59" s="28"/>
      <c r="ETF59" s="28"/>
      <c r="ETG59" s="28"/>
      <c r="ETH59" s="28"/>
      <c r="ETI59" s="28"/>
      <c r="ETJ59" s="28"/>
      <c r="ETK59" s="28"/>
      <c r="ETL59" s="28"/>
      <c r="ETM59" s="28"/>
      <c r="ETN59" s="28"/>
      <c r="ETO59" s="28"/>
      <c r="ETP59" s="28"/>
      <c r="ETQ59" s="28"/>
      <c r="ETR59" s="28"/>
      <c r="ETS59" s="28"/>
      <c r="ETT59" s="28"/>
      <c r="ETU59" s="28"/>
      <c r="ETV59" s="28"/>
      <c r="ETW59" s="28"/>
      <c r="ETX59" s="28"/>
      <c r="ETY59" s="28"/>
      <c r="ETZ59" s="28"/>
      <c r="EUA59" s="28"/>
      <c r="EUB59" s="28"/>
      <c r="EUC59" s="28"/>
      <c r="EUD59" s="28"/>
      <c r="EUE59" s="28"/>
      <c r="EUF59" s="28"/>
      <c r="EUG59" s="28"/>
      <c r="EUH59" s="28"/>
      <c r="EUI59" s="28"/>
      <c r="EUJ59" s="28"/>
      <c r="EUK59" s="28"/>
      <c r="EUL59" s="28"/>
      <c r="EUM59" s="28"/>
      <c r="EUN59" s="28"/>
      <c r="EUO59" s="28"/>
      <c r="EUP59" s="28"/>
      <c r="EUQ59" s="28"/>
      <c r="EUR59" s="28"/>
      <c r="EUS59" s="28"/>
      <c r="EUT59" s="28"/>
      <c r="EUU59" s="28"/>
      <c r="EUV59" s="28"/>
      <c r="EUW59" s="28"/>
      <c r="EUX59" s="28"/>
      <c r="EUY59" s="28"/>
      <c r="EUZ59" s="28"/>
      <c r="EVA59" s="28"/>
      <c r="EVB59" s="28"/>
      <c r="EVC59" s="28"/>
      <c r="EVD59" s="28"/>
      <c r="EVE59" s="28"/>
      <c r="EVF59" s="28"/>
      <c r="EVG59" s="28"/>
      <c r="EVH59" s="28"/>
      <c r="EVI59" s="28"/>
      <c r="EVJ59" s="28"/>
      <c r="EVK59" s="28"/>
      <c r="EVL59" s="28"/>
      <c r="EVM59" s="28"/>
      <c r="EVN59" s="28"/>
      <c r="EVO59" s="28"/>
      <c r="EVP59" s="28"/>
      <c r="EVQ59" s="28"/>
      <c r="EVR59" s="28"/>
      <c r="EVS59" s="28"/>
      <c r="EVT59" s="28"/>
      <c r="EVU59" s="28"/>
      <c r="EVV59" s="28"/>
      <c r="EVW59" s="28"/>
      <c r="EVX59" s="28"/>
      <c r="EVY59" s="28"/>
      <c r="EVZ59" s="28"/>
      <c r="EWA59" s="28"/>
      <c r="EWB59" s="28"/>
      <c r="EWC59" s="28"/>
      <c r="EWD59" s="28"/>
      <c r="EWE59" s="28"/>
      <c r="EWF59" s="28"/>
      <c r="EWG59" s="28"/>
      <c r="EWH59" s="28"/>
      <c r="EWI59" s="28"/>
      <c r="EWJ59" s="28"/>
      <c r="EWK59" s="28"/>
      <c r="EWL59" s="28"/>
      <c r="EWM59" s="28"/>
      <c r="EWN59" s="28"/>
      <c r="EWO59" s="28"/>
      <c r="EWP59" s="28"/>
      <c r="EWQ59" s="28"/>
      <c r="EWR59" s="28"/>
      <c r="EWS59" s="28"/>
      <c r="EWT59" s="28"/>
      <c r="EWU59" s="28"/>
      <c r="EWV59" s="28"/>
      <c r="EWW59" s="28"/>
      <c r="EWX59" s="28"/>
      <c r="EWY59" s="28"/>
      <c r="EWZ59" s="28"/>
      <c r="EXA59" s="28"/>
      <c r="EXB59" s="28"/>
      <c r="EXC59" s="28"/>
      <c r="EXD59" s="28"/>
      <c r="EXE59" s="28"/>
      <c r="EXF59" s="28"/>
      <c r="EXG59" s="28"/>
      <c r="EXH59" s="28"/>
      <c r="EXI59" s="28"/>
      <c r="EXJ59" s="28"/>
      <c r="EXK59" s="28"/>
      <c r="EXL59" s="28"/>
      <c r="EXM59" s="28"/>
      <c r="EXN59" s="28"/>
      <c r="EXO59" s="28"/>
      <c r="EXP59" s="28"/>
      <c r="EXQ59" s="28"/>
      <c r="EXR59" s="28"/>
      <c r="EXS59" s="28"/>
      <c r="EXT59" s="28"/>
      <c r="EXU59" s="28"/>
      <c r="EXV59" s="28"/>
      <c r="EXW59" s="28"/>
      <c r="EXX59" s="28"/>
      <c r="EXY59" s="28"/>
      <c r="EXZ59" s="28"/>
      <c r="EYA59" s="28"/>
      <c r="EYB59" s="28"/>
      <c r="EYC59" s="28"/>
      <c r="EYD59" s="28"/>
      <c r="EYE59" s="28"/>
      <c r="EYF59" s="28"/>
      <c r="EYG59" s="28"/>
      <c r="EYH59" s="28"/>
      <c r="EYI59" s="28"/>
      <c r="EYJ59" s="28"/>
      <c r="EYK59" s="28"/>
      <c r="EYL59" s="28"/>
      <c r="EYM59" s="28"/>
      <c r="EYN59" s="28"/>
      <c r="EYO59" s="28"/>
      <c r="EYP59" s="28"/>
      <c r="EYQ59" s="28"/>
      <c r="EYR59" s="28"/>
      <c r="EYS59" s="28"/>
      <c r="EYT59" s="28"/>
      <c r="EYU59" s="28"/>
      <c r="EYV59" s="28"/>
      <c r="EYW59" s="28"/>
      <c r="EYX59" s="28"/>
      <c r="EYY59" s="28"/>
      <c r="EYZ59" s="28"/>
      <c r="EZA59" s="28"/>
      <c r="EZB59" s="28"/>
      <c r="EZC59" s="28"/>
      <c r="EZD59" s="28"/>
      <c r="EZE59" s="28"/>
      <c r="EZF59" s="28"/>
      <c r="EZG59" s="28"/>
      <c r="EZH59" s="28"/>
      <c r="EZI59" s="28"/>
      <c r="EZJ59" s="28"/>
      <c r="EZK59" s="28"/>
      <c r="EZL59" s="28"/>
      <c r="EZM59" s="28"/>
      <c r="EZN59" s="28"/>
      <c r="EZO59" s="28"/>
      <c r="EZP59" s="28"/>
      <c r="EZQ59" s="28"/>
      <c r="EZR59" s="28"/>
      <c r="EZS59" s="28"/>
      <c r="EZT59" s="28"/>
      <c r="EZU59" s="28"/>
      <c r="EZV59" s="28"/>
      <c r="EZW59" s="28"/>
      <c r="EZX59" s="28"/>
      <c r="EZY59" s="28"/>
      <c r="EZZ59" s="28"/>
      <c r="FAA59" s="28"/>
      <c r="FAB59" s="28"/>
      <c r="FAC59" s="28"/>
      <c r="FAD59" s="28"/>
      <c r="FAE59" s="28"/>
      <c r="FAF59" s="28"/>
      <c r="FAG59" s="28"/>
      <c r="FAH59" s="28"/>
      <c r="FAI59" s="28"/>
      <c r="FAJ59" s="28"/>
      <c r="FAK59" s="28"/>
      <c r="FAL59" s="28"/>
      <c r="FAM59" s="28"/>
      <c r="FAN59" s="28"/>
      <c r="FAO59" s="28"/>
      <c r="FAP59" s="28"/>
      <c r="FAQ59" s="28"/>
      <c r="FAR59" s="28"/>
      <c r="FAS59" s="28"/>
      <c r="FAT59" s="28"/>
      <c r="FAU59" s="28"/>
      <c r="FAV59" s="28"/>
      <c r="FAW59" s="28"/>
      <c r="FAX59" s="28"/>
      <c r="FAY59" s="28"/>
      <c r="FAZ59" s="28"/>
      <c r="FBA59" s="28"/>
      <c r="FBB59" s="28"/>
      <c r="FBC59" s="28"/>
      <c r="FBD59" s="28"/>
      <c r="FBE59" s="28"/>
      <c r="FBF59" s="28"/>
      <c r="FBG59" s="28"/>
      <c r="FBH59" s="28"/>
      <c r="FBI59" s="28"/>
      <c r="FBJ59" s="28"/>
      <c r="FBK59" s="28"/>
      <c r="FBL59" s="28"/>
      <c r="FBM59" s="28"/>
      <c r="FBN59" s="28"/>
      <c r="FBO59" s="28"/>
      <c r="FBP59" s="28"/>
      <c r="FBQ59" s="28"/>
      <c r="FBR59" s="28"/>
      <c r="FBS59" s="28"/>
      <c r="FBT59" s="28"/>
      <c r="FBU59" s="28"/>
      <c r="FBV59" s="28"/>
      <c r="FBW59" s="28"/>
      <c r="FBX59" s="28"/>
      <c r="FBY59" s="28"/>
      <c r="FBZ59" s="28"/>
      <c r="FCA59" s="28"/>
      <c r="FCB59" s="28"/>
      <c r="FCC59" s="28"/>
      <c r="FCD59" s="28"/>
      <c r="FCE59" s="28"/>
      <c r="FCF59" s="28"/>
      <c r="FCG59" s="28"/>
      <c r="FCH59" s="28"/>
      <c r="FCI59" s="28"/>
      <c r="FCJ59" s="28"/>
      <c r="FCK59" s="28"/>
      <c r="FCL59" s="28"/>
      <c r="FCM59" s="28"/>
      <c r="FCN59" s="28"/>
      <c r="FCO59" s="28"/>
      <c r="FCP59" s="28"/>
      <c r="FCQ59" s="28"/>
      <c r="FCR59" s="28"/>
      <c r="FCS59" s="28"/>
      <c r="FCT59" s="28"/>
      <c r="FCU59" s="28"/>
      <c r="FCV59" s="28"/>
      <c r="FCW59" s="28"/>
      <c r="FCX59" s="28"/>
      <c r="FCY59" s="28"/>
      <c r="FCZ59" s="28"/>
      <c r="FDA59" s="28"/>
      <c r="FDB59" s="28"/>
      <c r="FDC59" s="28"/>
      <c r="FDD59" s="28"/>
      <c r="FDE59" s="28"/>
      <c r="FDF59" s="28"/>
      <c r="FDG59" s="28"/>
      <c r="FDH59" s="28"/>
      <c r="FDI59" s="28"/>
      <c r="FDJ59" s="28"/>
      <c r="FDK59" s="28"/>
      <c r="FDL59" s="28"/>
      <c r="FDM59" s="28"/>
      <c r="FDN59" s="28"/>
      <c r="FDO59" s="28"/>
      <c r="FDP59" s="28"/>
      <c r="FDQ59" s="28"/>
      <c r="FDR59" s="28"/>
      <c r="FDS59" s="28"/>
      <c r="FDT59" s="28"/>
      <c r="FDU59" s="28"/>
      <c r="FDV59" s="28"/>
      <c r="FDW59" s="28"/>
      <c r="FDX59" s="28"/>
      <c r="FDY59" s="28"/>
      <c r="FDZ59" s="28"/>
      <c r="FEA59" s="28"/>
      <c r="FEB59" s="28"/>
      <c r="FEC59" s="28"/>
      <c r="FED59" s="28"/>
      <c r="FEE59" s="28"/>
      <c r="FEF59" s="28"/>
      <c r="FEG59" s="28"/>
      <c r="FEH59" s="28"/>
      <c r="FEI59" s="28"/>
      <c r="FEJ59" s="28"/>
      <c r="FEK59" s="28"/>
      <c r="FEL59" s="28"/>
      <c r="FEM59" s="28"/>
      <c r="FEN59" s="28"/>
      <c r="FEO59" s="28"/>
      <c r="FEP59" s="28"/>
      <c r="FEQ59" s="28"/>
      <c r="FER59" s="28"/>
      <c r="FES59" s="28"/>
      <c r="FET59" s="28"/>
      <c r="FEU59" s="28"/>
      <c r="FEV59" s="28"/>
      <c r="FEW59" s="28"/>
      <c r="FEX59" s="28"/>
      <c r="FEY59" s="28"/>
      <c r="FEZ59" s="28"/>
      <c r="FFA59" s="28"/>
      <c r="FFB59" s="28"/>
      <c r="FFC59" s="28"/>
      <c r="FFD59" s="28"/>
      <c r="FFE59" s="28"/>
      <c r="FFF59" s="28"/>
      <c r="FFG59" s="28"/>
      <c r="FFH59" s="28"/>
      <c r="FFI59" s="28"/>
      <c r="FFJ59" s="28"/>
      <c r="FFK59" s="28"/>
      <c r="FFL59" s="28"/>
      <c r="FFM59" s="28"/>
      <c r="FFN59" s="28"/>
      <c r="FFO59" s="28"/>
      <c r="FFP59" s="28"/>
      <c r="FFQ59" s="28"/>
      <c r="FFR59" s="28"/>
      <c r="FFS59" s="28"/>
      <c r="FFT59" s="28"/>
      <c r="FFU59" s="28"/>
      <c r="FFV59" s="28"/>
      <c r="FFW59" s="28"/>
      <c r="FFX59" s="28"/>
      <c r="FFY59" s="28"/>
      <c r="FFZ59" s="28"/>
      <c r="FGA59" s="28"/>
      <c r="FGB59" s="28"/>
      <c r="FGC59" s="28"/>
      <c r="FGD59" s="28"/>
      <c r="FGE59" s="28"/>
      <c r="FGF59" s="28"/>
      <c r="FGG59" s="28"/>
      <c r="FGH59" s="28"/>
      <c r="FGI59" s="28"/>
      <c r="FGJ59" s="28"/>
      <c r="FGK59" s="28"/>
      <c r="FGL59" s="28"/>
      <c r="FGM59" s="28"/>
      <c r="FGN59" s="28"/>
      <c r="FGO59" s="28"/>
      <c r="FGP59" s="28"/>
      <c r="FGQ59" s="28"/>
      <c r="FGR59" s="28"/>
      <c r="FGS59" s="28"/>
      <c r="FGT59" s="28"/>
      <c r="FGU59" s="28"/>
      <c r="FGV59" s="28"/>
      <c r="FGW59" s="28"/>
      <c r="FGX59" s="28"/>
      <c r="FGY59" s="28"/>
      <c r="FGZ59" s="28"/>
      <c r="FHA59" s="28"/>
      <c r="FHB59" s="28"/>
      <c r="FHC59" s="28"/>
      <c r="FHD59" s="28"/>
      <c r="FHE59" s="28"/>
      <c r="FHF59" s="28"/>
      <c r="FHG59" s="28"/>
      <c r="FHH59" s="28"/>
      <c r="FHI59" s="28"/>
      <c r="FHJ59" s="28"/>
      <c r="FHK59" s="28"/>
      <c r="FHL59" s="28"/>
      <c r="FHM59" s="28"/>
      <c r="FHN59" s="28"/>
      <c r="FHO59" s="28"/>
      <c r="FHP59" s="28"/>
      <c r="FHQ59" s="28"/>
      <c r="FHR59" s="28"/>
      <c r="FHS59" s="28"/>
      <c r="FHT59" s="28"/>
      <c r="FHU59" s="28"/>
      <c r="FHV59" s="28"/>
      <c r="FHW59" s="28"/>
      <c r="FHX59" s="28"/>
      <c r="FHY59" s="28"/>
      <c r="FHZ59" s="28"/>
      <c r="FIA59" s="28"/>
      <c r="FIB59" s="28"/>
      <c r="FIC59" s="28"/>
      <c r="FID59" s="28"/>
      <c r="FIE59" s="28"/>
      <c r="FIF59" s="28"/>
      <c r="FIG59" s="28"/>
      <c r="FIH59" s="28"/>
      <c r="FII59" s="28"/>
      <c r="FIJ59" s="28"/>
      <c r="FIK59" s="28"/>
      <c r="FIL59" s="28"/>
      <c r="FIM59" s="28"/>
      <c r="FIN59" s="28"/>
      <c r="FIO59" s="28"/>
      <c r="FIP59" s="28"/>
      <c r="FIQ59" s="28"/>
      <c r="FIR59" s="28"/>
      <c r="FIS59" s="28"/>
      <c r="FIT59" s="28"/>
      <c r="FIU59" s="28"/>
      <c r="FIV59" s="28"/>
      <c r="FIW59" s="28"/>
      <c r="FIX59" s="28"/>
      <c r="FIY59" s="28"/>
      <c r="FIZ59" s="28"/>
      <c r="FJA59" s="28"/>
      <c r="FJB59" s="28"/>
      <c r="FJC59" s="28"/>
      <c r="FJD59" s="28"/>
      <c r="FJE59" s="28"/>
      <c r="FJF59" s="28"/>
      <c r="FJG59" s="28"/>
      <c r="FJH59" s="28"/>
      <c r="FJI59" s="28"/>
      <c r="FJJ59" s="28"/>
      <c r="FJK59" s="28"/>
      <c r="FJL59" s="28"/>
      <c r="FJM59" s="28"/>
      <c r="FJN59" s="28"/>
      <c r="FJO59" s="28"/>
      <c r="FJP59" s="28"/>
      <c r="FJQ59" s="28"/>
      <c r="FJR59" s="28"/>
      <c r="FJS59" s="28"/>
      <c r="FJT59" s="28"/>
      <c r="FJU59" s="28"/>
      <c r="FJV59" s="28"/>
      <c r="FJW59" s="28"/>
      <c r="FJX59" s="28"/>
      <c r="FJY59" s="28"/>
      <c r="FJZ59" s="28"/>
      <c r="FKA59" s="28"/>
      <c r="FKB59" s="28"/>
      <c r="FKC59" s="28"/>
      <c r="FKD59" s="28"/>
      <c r="FKE59" s="28"/>
      <c r="FKF59" s="28"/>
      <c r="FKG59" s="28"/>
      <c r="FKH59" s="28"/>
      <c r="FKI59" s="28"/>
      <c r="FKJ59" s="28"/>
      <c r="FKK59" s="28"/>
      <c r="FKL59" s="28"/>
      <c r="FKM59" s="28"/>
      <c r="FKN59" s="28"/>
      <c r="FKO59" s="28"/>
      <c r="FKP59" s="28"/>
      <c r="FKQ59" s="28"/>
      <c r="FKR59" s="28"/>
      <c r="FKS59" s="28"/>
      <c r="FKT59" s="28"/>
      <c r="FKU59" s="28"/>
      <c r="FKV59" s="28"/>
      <c r="FKW59" s="28"/>
      <c r="FKX59" s="28"/>
      <c r="FKY59" s="28"/>
      <c r="FKZ59" s="28"/>
      <c r="FLA59" s="28"/>
      <c r="FLB59" s="28"/>
      <c r="FLC59" s="28"/>
      <c r="FLD59" s="28"/>
      <c r="FLE59" s="28"/>
      <c r="FLF59" s="28"/>
      <c r="FLG59" s="28"/>
      <c r="FLH59" s="28"/>
      <c r="FLI59" s="28"/>
      <c r="FLJ59" s="28"/>
      <c r="FLK59" s="28"/>
      <c r="FLL59" s="28"/>
      <c r="FLM59" s="28"/>
      <c r="FLN59" s="28"/>
      <c r="FLO59" s="28"/>
      <c r="FLP59" s="28"/>
      <c r="FLQ59" s="28"/>
      <c r="FLR59" s="28"/>
      <c r="FLS59" s="28"/>
      <c r="FLT59" s="28"/>
      <c r="FLU59" s="28"/>
      <c r="FLV59" s="28"/>
      <c r="FLW59" s="28"/>
      <c r="FLX59" s="28"/>
      <c r="FLY59" s="28"/>
      <c r="FLZ59" s="28"/>
      <c r="FMA59" s="28"/>
      <c r="FMB59" s="28"/>
      <c r="FMC59" s="28"/>
      <c r="FMD59" s="28"/>
      <c r="FME59" s="28"/>
      <c r="FMF59" s="28"/>
      <c r="FMG59" s="28"/>
      <c r="FMH59" s="28"/>
      <c r="FMI59" s="28"/>
      <c r="FMJ59" s="28"/>
      <c r="FMK59" s="28"/>
      <c r="FML59" s="28"/>
      <c r="FMM59" s="28"/>
      <c r="FMN59" s="28"/>
      <c r="FMO59" s="28"/>
      <c r="FMP59" s="28"/>
      <c r="FMQ59" s="28"/>
      <c r="FMR59" s="28"/>
      <c r="FMS59" s="28"/>
      <c r="FMT59" s="28"/>
      <c r="FMU59" s="28"/>
      <c r="FMV59" s="28"/>
      <c r="FMW59" s="28"/>
      <c r="FMX59" s="28"/>
      <c r="FMY59" s="28"/>
      <c r="FMZ59" s="28"/>
      <c r="FNA59" s="28"/>
      <c r="FNB59" s="28"/>
      <c r="FNC59" s="28"/>
      <c r="FND59" s="28"/>
      <c r="FNE59" s="28"/>
      <c r="FNF59" s="28"/>
      <c r="FNG59" s="28"/>
      <c r="FNH59" s="28"/>
      <c r="FNI59" s="28"/>
      <c r="FNJ59" s="28"/>
      <c r="FNK59" s="28"/>
      <c r="FNL59" s="28"/>
      <c r="FNM59" s="28"/>
      <c r="FNN59" s="28"/>
      <c r="FNO59" s="28"/>
      <c r="FNP59" s="28"/>
      <c r="FNQ59" s="28"/>
      <c r="FNR59" s="28"/>
      <c r="FNS59" s="28"/>
      <c r="FNT59" s="28"/>
      <c r="FNU59" s="28"/>
      <c r="FNV59" s="28"/>
      <c r="FNW59" s="28"/>
      <c r="FNX59" s="28"/>
      <c r="FNY59" s="28"/>
      <c r="FNZ59" s="28"/>
      <c r="FOA59" s="28"/>
      <c r="FOB59" s="28"/>
      <c r="FOC59" s="28"/>
      <c r="FOD59" s="28"/>
      <c r="FOE59" s="28"/>
      <c r="FOF59" s="28"/>
      <c r="FOG59" s="28"/>
      <c r="FOH59" s="28"/>
      <c r="FOI59" s="28"/>
      <c r="FOJ59" s="28"/>
      <c r="FOK59" s="28"/>
      <c r="FOL59" s="28"/>
      <c r="FOM59" s="28"/>
      <c r="FON59" s="28"/>
      <c r="FOO59" s="28"/>
      <c r="FOP59" s="28"/>
      <c r="FOQ59" s="28"/>
      <c r="FOR59" s="28"/>
      <c r="FOS59" s="28"/>
      <c r="FOT59" s="28"/>
      <c r="FOU59" s="28"/>
      <c r="FOV59" s="28"/>
      <c r="FOW59" s="28"/>
      <c r="FOX59" s="28"/>
      <c r="FOY59" s="28"/>
      <c r="FOZ59" s="28"/>
      <c r="FPA59" s="28"/>
      <c r="FPB59" s="28"/>
      <c r="FPC59" s="28"/>
      <c r="FPD59" s="28"/>
      <c r="FPE59" s="28"/>
      <c r="FPF59" s="28"/>
      <c r="FPG59" s="28"/>
      <c r="FPH59" s="28"/>
      <c r="FPI59" s="28"/>
      <c r="FPJ59" s="28"/>
      <c r="FPK59" s="28"/>
      <c r="FPL59" s="28"/>
      <c r="FPM59" s="28"/>
      <c r="FPN59" s="28"/>
      <c r="FPO59" s="28"/>
      <c r="FPP59" s="28"/>
      <c r="FPQ59" s="28"/>
      <c r="FPR59" s="28"/>
      <c r="FPS59" s="28"/>
      <c r="FPT59" s="28"/>
      <c r="FPU59" s="28"/>
      <c r="FPV59" s="28"/>
      <c r="FPW59" s="28"/>
      <c r="FPX59" s="28"/>
      <c r="FPY59" s="28"/>
      <c r="FPZ59" s="28"/>
      <c r="FQA59" s="28"/>
      <c r="FQB59" s="28"/>
      <c r="FQC59" s="28"/>
      <c r="FQD59" s="28"/>
      <c r="FQE59" s="28"/>
      <c r="FQF59" s="28"/>
      <c r="FQG59" s="28"/>
      <c r="FQH59" s="28"/>
      <c r="FQI59" s="28"/>
      <c r="FQJ59" s="28"/>
      <c r="FQK59" s="28"/>
      <c r="FQL59" s="28"/>
      <c r="FQM59" s="28"/>
      <c r="FQN59" s="28"/>
      <c r="FQO59" s="28"/>
      <c r="FQP59" s="28"/>
      <c r="FQQ59" s="28"/>
      <c r="FQR59" s="28"/>
      <c r="FQS59" s="28"/>
      <c r="FQT59" s="28"/>
      <c r="FQU59" s="28"/>
      <c r="FQV59" s="28"/>
      <c r="FQW59" s="28"/>
      <c r="FQX59" s="28"/>
      <c r="FQY59" s="28"/>
      <c r="FQZ59" s="28"/>
      <c r="FRA59" s="28"/>
      <c r="FRB59" s="28"/>
      <c r="FRC59" s="28"/>
      <c r="FRD59" s="28"/>
      <c r="FRE59" s="28"/>
      <c r="FRF59" s="28"/>
      <c r="FRG59" s="28"/>
      <c r="FRH59" s="28"/>
      <c r="FRI59" s="28"/>
      <c r="FRJ59" s="28"/>
      <c r="FRK59" s="28"/>
      <c r="FRL59" s="28"/>
      <c r="FRM59" s="28"/>
      <c r="FRN59" s="28"/>
      <c r="FRO59" s="28"/>
      <c r="FRP59" s="28"/>
      <c r="FRQ59" s="28"/>
      <c r="FRR59" s="28"/>
      <c r="FRS59" s="28"/>
      <c r="FRT59" s="28"/>
      <c r="FRU59" s="28"/>
      <c r="FRV59" s="28"/>
      <c r="FRW59" s="28"/>
      <c r="FRX59" s="28"/>
      <c r="FRY59" s="28"/>
      <c r="FRZ59" s="28"/>
      <c r="FSA59" s="28"/>
      <c r="FSB59" s="28"/>
      <c r="FSC59" s="28"/>
      <c r="FSD59" s="28"/>
      <c r="FSE59" s="28"/>
      <c r="FSF59" s="28"/>
      <c r="FSG59" s="28"/>
      <c r="FSH59" s="28"/>
      <c r="FSI59" s="28"/>
      <c r="FSJ59" s="28"/>
      <c r="FSK59" s="28"/>
      <c r="FSL59" s="28"/>
      <c r="FSM59" s="28"/>
      <c r="FSN59" s="28"/>
      <c r="FSO59" s="28"/>
      <c r="FSP59" s="28"/>
      <c r="FSQ59" s="28"/>
      <c r="FSR59" s="28"/>
      <c r="FSS59" s="28"/>
      <c r="FST59" s="28"/>
      <c r="FSU59" s="28"/>
      <c r="FSV59" s="28"/>
      <c r="FSW59" s="28"/>
      <c r="FSX59" s="28"/>
      <c r="FSY59" s="28"/>
      <c r="FSZ59" s="28"/>
      <c r="FTA59" s="28"/>
      <c r="FTB59" s="28"/>
      <c r="FTC59" s="28"/>
      <c r="FTD59" s="28"/>
      <c r="FTE59" s="28"/>
      <c r="FTF59" s="28"/>
      <c r="FTG59" s="28"/>
      <c r="FTH59" s="28"/>
      <c r="FTI59" s="28"/>
      <c r="FTJ59" s="28"/>
      <c r="FTK59" s="28"/>
      <c r="FTL59" s="28"/>
      <c r="FTM59" s="28"/>
      <c r="FTN59" s="28"/>
      <c r="FTO59" s="28"/>
      <c r="FTP59" s="28"/>
      <c r="FTQ59" s="28"/>
      <c r="FTR59" s="28"/>
      <c r="FTS59" s="28"/>
      <c r="FTT59" s="28"/>
      <c r="FTU59" s="28"/>
      <c r="FTV59" s="28"/>
      <c r="FTW59" s="28"/>
      <c r="FTX59" s="28"/>
      <c r="FTY59" s="28"/>
      <c r="FTZ59" s="28"/>
      <c r="FUA59" s="28"/>
      <c r="FUB59" s="28"/>
      <c r="FUC59" s="28"/>
      <c r="FUD59" s="28"/>
      <c r="FUE59" s="28"/>
      <c r="FUF59" s="28"/>
      <c r="FUG59" s="28"/>
      <c r="FUH59" s="28"/>
      <c r="FUI59" s="28"/>
      <c r="FUJ59" s="28"/>
      <c r="FUK59" s="28"/>
      <c r="FUL59" s="28"/>
      <c r="FUM59" s="28"/>
      <c r="FUN59" s="28"/>
      <c r="FUO59" s="28"/>
      <c r="FUP59" s="28"/>
      <c r="FUQ59" s="28"/>
      <c r="FUR59" s="28"/>
      <c r="FUS59" s="28"/>
      <c r="FUT59" s="28"/>
      <c r="FUU59" s="28"/>
      <c r="FUV59" s="28"/>
      <c r="FUW59" s="28"/>
      <c r="FUX59" s="28"/>
      <c r="FUY59" s="28"/>
      <c r="FUZ59" s="28"/>
      <c r="FVA59" s="28"/>
      <c r="FVB59" s="28"/>
      <c r="FVC59" s="28"/>
      <c r="FVD59" s="28"/>
      <c r="FVE59" s="28"/>
      <c r="FVF59" s="28"/>
      <c r="FVG59" s="28"/>
      <c r="FVH59" s="28"/>
      <c r="FVI59" s="28"/>
      <c r="FVJ59" s="28"/>
      <c r="FVK59" s="28"/>
      <c r="FVL59" s="28"/>
      <c r="FVM59" s="28"/>
      <c r="FVN59" s="28"/>
      <c r="FVO59" s="28"/>
      <c r="FVP59" s="28"/>
      <c r="FVQ59" s="28"/>
      <c r="FVR59" s="28"/>
      <c r="FVS59" s="28"/>
      <c r="FVT59" s="28"/>
      <c r="FVU59" s="28"/>
      <c r="FVV59" s="28"/>
      <c r="FVW59" s="28"/>
      <c r="FVX59" s="28"/>
      <c r="FVY59" s="28"/>
      <c r="FVZ59" s="28"/>
      <c r="FWA59" s="28"/>
      <c r="FWB59" s="28"/>
      <c r="FWC59" s="28"/>
      <c r="FWD59" s="28"/>
      <c r="FWE59" s="28"/>
      <c r="FWF59" s="28"/>
      <c r="FWG59" s="28"/>
      <c r="FWH59" s="28"/>
      <c r="FWI59" s="28"/>
      <c r="FWJ59" s="28"/>
      <c r="FWK59" s="28"/>
      <c r="FWL59" s="28"/>
      <c r="FWM59" s="28"/>
      <c r="FWN59" s="28"/>
      <c r="FWO59" s="28"/>
      <c r="FWP59" s="28"/>
      <c r="FWQ59" s="28"/>
      <c r="FWR59" s="28"/>
      <c r="FWS59" s="28"/>
      <c r="FWT59" s="28"/>
      <c r="FWU59" s="28"/>
      <c r="FWV59" s="28"/>
      <c r="FWW59" s="28"/>
      <c r="FWX59" s="28"/>
      <c r="FWY59" s="28"/>
      <c r="FWZ59" s="28"/>
      <c r="FXA59" s="28"/>
      <c r="FXB59" s="28"/>
      <c r="FXC59" s="28"/>
      <c r="FXD59" s="28"/>
      <c r="FXE59" s="28"/>
      <c r="FXF59" s="28"/>
      <c r="FXG59" s="28"/>
      <c r="FXH59" s="28"/>
      <c r="FXI59" s="28"/>
      <c r="FXJ59" s="28"/>
      <c r="FXK59" s="28"/>
      <c r="FXL59" s="28"/>
      <c r="FXM59" s="28"/>
      <c r="FXN59" s="28"/>
      <c r="FXO59" s="28"/>
      <c r="FXP59" s="28"/>
      <c r="FXQ59" s="28"/>
      <c r="FXR59" s="28"/>
      <c r="FXS59" s="28"/>
      <c r="FXT59" s="28"/>
      <c r="FXU59" s="28"/>
      <c r="FXV59" s="28"/>
      <c r="FXW59" s="28"/>
      <c r="FXX59" s="28"/>
      <c r="FXY59" s="28"/>
      <c r="FXZ59" s="28"/>
      <c r="FYA59" s="28"/>
      <c r="FYB59" s="28"/>
      <c r="FYC59" s="28"/>
      <c r="FYD59" s="28"/>
      <c r="FYE59" s="28"/>
      <c r="FYF59" s="28"/>
      <c r="FYG59" s="28"/>
      <c r="FYH59" s="28"/>
      <c r="FYI59" s="28"/>
      <c r="FYJ59" s="28"/>
      <c r="FYK59" s="28"/>
      <c r="FYL59" s="28"/>
      <c r="FYM59" s="28"/>
      <c r="FYN59" s="28"/>
      <c r="FYO59" s="28"/>
      <c r="FYP59" s="28"/>
      <c r="FYQ59" s="28"/>
      <c r="FYR59" s="28"/>
      <c r="FYS59" s="28"/>
      <c r="FYT59" s="28"/>
      <c r="FYU59" s="28"/>
      <c r="FYV59" s="28"/>
      <c r="FYW59" s="28"/>
      <c r="FYX59" s="28"/>
      <c r="FYY59" s="28"/>
      <c r="FYZ59" s="28"/>
      <c r="FZA59" s="28"/>
      <c r="FZB59" s="28"/>
      <c r="FZC59" s="28"/>
      <c r="FZD59" s="28"/>
      <c r="FZE59" s="28"/>
      <c r="FZF59" s="28"/>
      <c r="FZG59" s="28"/>
      <c r="FZH59" s="28"/>
      <c r="FZI59" s="28"/>
      <c r="FZJ59" s="28"/>
      <c r="FZK59" s="28"/>
      <c r="FZL59" s="28"/>
      <c r="FZM59" s="28"/>
      <c r="FZN59" s="28"/>
      <c r="FZO59" s="28"/>
      <c r="FZP59" s="28"/>
      <c r="FZQ59" s="28"/>
      <c r="FZR59" s="28"/>
      <c r="FZS59" s="28"/>
      <c r="FZT59" s="28"/>
      <c r="FZU59" s="28"/>
      <c r="FZV59" s="28"/>
      <c r="FZW59" s="28"/>
      <c r="FZX59" s="28"/>
      <c r="FZY59" s="28"/>
      <c r="FZZ59" s="28"/>
      <c r="GAA59" s="28"/>
      <c r="GAB59" s="28"/>
      <c r="GAC59" s="28"/>
      <c r="GAD59" s="28"/>
      <c r="GAE59" s="28"/>
      <c r="GAF59" s="28"/>
      <c r="GAG59" s="28"/>
      <c r="GAH59" s="28"/>
      <c r="GAI59" s="28"/>
      <c r="GAJ59" s="28"/>
      <c r="GAK59" s="28"/>
      <c r="GAL59" s="28"/>
      <c r="GAM59" s="28"/>
      <c r="GAN59" s="28"/>
      <c r="GAO59" s="28"/>
      <c r="GAP59" s="28"/>
      <c r="GAQ59" s="28"/>
      <c r="GAR59" s="28"/>
      <c r="GAS59" s="28"/>
      <c r="GAT59" s="28"/>
      <c r="GAU59" s="28"/>
      <c r="GAV59" s="28"/>
      <c r="GAW59" s="28"/>
      <c r="GAX59" s="28"/>
      <c r="GAY59" s="28"/>
      <c r="GAZ59" s="28"/>
      <c r="GBA59" s="28"/>
      <c r="GBB59" s="28"/>
      <c r="GBC59" s="28"/>
      <c r="GBD59" s="28"/>
      <c r="GBE59" s="28"/>
      <c r="GBF59" s="28"/>
      <c r="GBG59" s="28"/>
      <c r="GBH59" s="28"/>
      <c r="GBI59" s="28"/>
      <c r="GBJ59" s="28"/>
      <c r="GBK59" s="28"/>
      <c r="GBL59" s="28"/>
      <c r="GBM59" s="28"/>
      <c r="GBN59" s="28"/>
      <c r="GBO59" s="28"/>
      <c r="GBP59" s="28"/>
      <c r="GBQ59" s="28"/>
      <c r="GBR59" s="28"/>
      <c r="GBS59" s="28"/>
      <c r="GBT59" s="28"/>
      <c r="GBU59" s="28"/>
      <c r="GBV59" s="28"/>
      <c r="GBW59" s="28"/>
      <c r="GBX59" s="28"/>
      <c r="GBY59" s="28"/>
      <c r="GBZ59" s="28"/>
      <c r="GCA59" s="28"/>
      <c r="GCB59" s="28"/>
      <c r="GCC59" s="28"/>
      <c r="GCD59" s="28"/>
      <c r="GCE59" s="28"/>
      <c r="GCF59" s="28"/>
      <c r="GCG59" s="28"/>
      <c r="GCH59" s="28"/>
      <c r="GCI59" s="28"/>
      <c r="GCJ59" s="28"/>
      <c r="GCK59" s="28"/>
      <c r="GCL59" s="28"/>
      <c r="GCM59" s="28"/>
      <c r="GCN59" s="28"/>
      <c r="GCO59" s="28"/>
      <c r="GCP59" s="28"/>
      <c r="GCQ59" s="28"/>
      <c r="GCR59" s="28"/>
      <c r="GCS59" s="28"/>
      <c r="GCT59" s="28"/>
      <c r="GCU59" s="28"/>
      <c r="GCV59" s="28"/>
      <c r="GCW59" s="28"/>
      <c r="GCX59" s="28"/>
      <c r="GCY59" s="28"/>
      <c r="GCZ59" s="28"/>
      <c r="GDA59" s="28"/>
      <c r="GDB59" s="28"/>
      <c r="GDC59" s="28"/>
      <c r="GDD59" s="28"/>
      <c r="GDE59" s="28"/>
      <c r="GDF59" s="28"/>
      <c r="GDG59" s="28"/>
      <c r="GDH59" s="28"/>
      <c r="GDI59" s="28"/>
      <c r="GDJ59" s="28"/>
      <c r="GDK59" s="28"/>
      <c r="GDL59" s="28"/>
      <c r="GDM59" s="28"/>
      <c r="GDN59" s="28"/>
      <c r="GDO59" s="28"/>
      <c r="GDP59" s="28"/>
      <c r="GDQ59" s="28"/>
      <c r="GDR59" s="28"/>
      <c r="GDS59" s="28"/>
      <c r="GDT59" s="28"/>
      <c r="GDU59" s="28"/>
      <c r="GDV59" s="28"/>
      <c r="GDW59" s="28"/>
      <c r="GDX59" s="28"/>
      <c r="GDY59" s="28"/>
      <c r="GDZ59" s="28"/>
      <c r="GEA59" s="28"/>
      <c r="GEB59" s="28"/>
      <c r="GEC59" s="28"/>
      <c r="GED59" s="28"/>
      <c r="GEE59" s="28"/>
      <c r="GEF59" s="28"/>
      <c r="GEG59" s="28"/>
      <c r="GEH59" s="28"/>
      <c r="GEI59" s="28"/>
      <c r="GEJ59" s="28"/>
      <c r="GEK59" s="28"/>
      <c r="GEL59" s="28"/>
      <c r="GEM59" s="28"/>
      <c r="GEN59" s="28"/>
      <c r="GEO59" s="28"/>
      <c r="GEP59" s="28"/>
      <c r="GEQ59" s="28"/>
      <c r="GER59" s="28"/>
      <c r="GES59" s="28"/>
      <c r="GET59" s="28"/>
      <c r="GEU59" s="28"/>
      <c r="GEV59" s="28"/>
      <c r="GEW59" s="28"/>
      <c r="GEX59" s="28"/>
      <c r="GEY59" s="28"/>
      <c r="GEZ59" s="28"/>
      <c r="GFA59" s="28"/>
      <c r="GFB59" s="28"/>
      <c r="GFC59" s="28"/>
      <c r="GFD59" s="28"/>
      <c r="GFE59" s="28"/>
      <c r="GFF59" s="28"/>
      <c r="GFG59" s="28"/>
      <c r="GFH59" s="28"/>
      <c r="GFI59" s="28"/>
      <c r="GFJ59" s="28"/>
      <c r="GFK59" s="28"/>
      <c r="GFL59" s="28"/>
      <c r="GFM59" s="28"/>
      <c r="GFN59" s="28"/>
      <c r="GFO59" s="28"/>
      <c r="GFP59" s="28"/>
      <c r="GFQ59" s="28"/>
      <c r="GFR59" s="28"/>
      <c r="GFS59" s="28"/>
      <c r="GFT59" s="28"/>
      <c r="GFU59" s="28"/>
      <c r="GFV59" s="28"/>
      <c r="GFW59" s="28"/>
      <c r="GFX59" s="28"/>
      <c r="GFY59" s="28"/>
      <c r="GFZ59" s="28"/>
      <c r="GGA59" s="28"/>
      <c r="GGB59" s="28"/>
      <c r="GGC59" s="28"/>
      <c r="GGD59" s="28"/>
      <c r="GGE59" s="28"/>
      <c r="GGF59" s="28"/>
      <c r="GGG59" s="28"/>
      <c r="GGH59" s="28"/>
      <c r="GGI59" s="28"/>
      <c r="GGJ59" s="28"/>
      <c r="GGK59" s="28"/>
      <c r="GGL59" s="28"/>
      <c r="GGM59" s="28"/>
      <c r="GGN59" s="28"/>
      <c r="GGO59" s="28"/>
      <c r="GGP59" s="28"/>
      <c r="GGQ59" s="28"/>
      <c r="GGR59" s="28"/>
      <c r="GGS59" s="28"/>
      <c r="GGT59" s="28"/>
      <c r="GGU59" s="28"/>
      <c r="GGV59" s="28"/>
      <c r="GGW59" s="28"/>
      <c r="GGX59" s="28"/>
      <c r="GGY59" s="28"/>
      <c r="GGZ59" s="28"/>
      <c r="GHA59" s="28"/>
      <c r="GHB59" s="28"/>
      <c r="GHC59" s="28"/>
      <c r="GHD59" s="28"/>
      <c r="GHE59" s="28"/>
      <c r="GHF59" s="28"/>
      <c r="GHG59" s="28"/>
      <c r="GHH59" s="28"/>
      <c r="GHI59" s="28"/>
      <c r="GHJ59" s="28"/>
      <c r="GHK59" s="28"/>
      <c r="GHL59" s="28"/>
      <c r="GHM59" s="28"/>
      <c r="GHN59" s="28"/>
      <c r="GHO59" s="28"/>
      <c r="GHP59" s="28"/>
      <c r="GHQ59" s="28"/>
      <c r="GHR59" s="28"/>
      <c r="GHS59" s="28"/>
      <c r="GHT59" s="28"/>
      <c r="GHU59" s="28"/>
      <c r="GHV59" s="28"/>
      <c r="GHW59" s="28"/>
      <c r="GHX59" s="28"/>
      <c r="GHY59" s="28"/>
      <c r="GHZ59" s="28"/>
      <c r="GIA59" s="28"/>
      <c r="GIB59" s="28"/>
      <c r="GIC59" s="28"/>
      <c r="GID59" s="28"/>
      <c r="GIE59" s="28"/>
      <c r="GIF59" s="28"/>
      <c r="GIG59" s="28"/>
      <c r="GIH59" s="28"/>
      <c r="GII59" s="28"/>
      <c r="GIJ59" s="28"/>
      <c r="GIK59" s="28"/>
      <c r="GIL59" s="28"/>
      <c r="GIM59" s="28"/>
      <c r="GIN59" s="28"/>
      <c r="GIO59" s="28"/>
      <c r="GIP59" s="28"/>
      <c r="GIQ59" s="28"/>
      <c r="GIR59" s="28"/>
      <c r="GIS59" s="28"/>
      <c r="GIT59" s="28"/>
      <c r="GIU59" s="28"/>
      <c r="GIV59" s="28"/>
      <c r="GIW59" s="28"/>
      <c r="GIX59" s="28"/>
      <c r="GIY59" s="28"/>
      <c r="GIZ59" s="28"/>
      <c r="GJA59" s="28"/>
      <c r="GJB59" s="28"/>
      <c r="GJC59" s="28"/>
      <c r="GJD59" s="28"/>
      <c r="GJE59" s="28"/>
      <c r="GJF59" s="28"/>
      <c r="GJG59" s="28"/>
      <c r="GJH59" s="28"/>
      <c r="GJI59" s="28"/>
      <c r="GJJ59" s="28"/>
      <c r="GJK59" s="28"/>
      <c r="GJL59" s="28"/>
      <c r="GJM59" s="28"/>
      <c r="GJN59" s="28"/>
      <c r="GJO59" s="28"/>
      <c r="GJP59" s="28"/>
      <c r="GJQ59" s="28"/>
      <c r="GJR59" s="28"/>
      <c r="GJS59" s="28"/>
      <c r="GJT59" s="28"/>
      <c r="GJU59" s="28"/>
      <c r="GJV59" s="28"/>
      <c r="GJW59" s="28"/>
      <c r="GJX59" s="28"/>
      <c r="GJY59" s="28"/>
      <c r="GJZ59" s="28"/>
      <c r="GKA59" s="28"/>
      <c r="GKB59" s="28"/>
      <c r="GKC59" s="28"/>
      <c r="GKD59" s="28"/>
      <c r="GKE59" s="28"/>
      <c r="GKF59" s="28"/>
      <c r="GKG59" s="28"/>
      <c r="GKH59" s="28"/>
      <c r="GKI59" s="28"/>
      <c r="GKJ59" s="28"/>
      <c r="GKK59" s="28"/>
      <c r="GKL59" s="28"/>
      <c r="GKM59" s="28"/>
      <c r="GKN59" s="28"/>
      <c r="GKO59" s="28"/>
      <c r="GKP59" s="28"/>
      <c r="GKQ59" s="28"/>
      <c r="GKR59" s="28"/>
      <c r="GKS59" s="28"/>
      <c r="GKT59" s="28"/>
      <c r="GKU59" s="28"/>
      <c r="GKV59" s="28"/>
      <c r="GKW59" s="28"/>
      <c r="GKX59" s="28"/>
      <c r="GKY59" s="28"/>
      <c r="GKZ59" s="28"/>
      <c r="GLA59" s="28"/>
      <c r="GLB59" s="28"/>
      <c r="GLC59" s="28"/>
      <c r="GLD59" s="28"/>
      <c r="GLE59" s="28"/>
      <c r="GLF59" s="28"/>
      <c r="GLG59" s="28"/>
      <c r="GLH59" s="28"/>
      <c r="GLI59" s="28"/>
      <c r="GLJ59" s="28"/>
      <c r="GLK59" s="28"/>
      <c r="GLL59" s="28"/>
      <c r="GLM59" s="28"/>
      <c r="GLN59" s="28"/>
      <c r="GLO59" s="28"/>
      <c r="GLP59" s="28"/>
      <c r="GLQ59" s="28"/>
      <c r="GLR59" s="28"/>
      <c r="GLS59" s="28"/>
      <c r="GLT59" s="28"/>
      <c r="GLU59" s="28"/>
      <c r="GLV59" s="28"/>
      <c r="GLW59" s="28"/>
      <c r="GLX59" s="28"/>
      <c r="GLY59" s="28"/>
      <c r="GLZ59" s="28"/>
      <c r="GMA59" s="28"/>
      <c r="GMB59" s="28"/>
      <c r="GMC59" s="28"/>
      <c r="GMD59" s="28"/>
      <c r="GME59" s="28"/>
      <c r="GMF59" s="28"/>
      <c r="GMG59" s="28"/>
      <c r="GMH59" s="28"/>
      <c r="GMI59" s="28"/>
      <c r="GMJ59" s="28"/>
      <c r="GMK59" s="28"/>
      <c r="GML59" s="28"/>
      <c r="GMM59" s="28"/>
      <c r="GMN59" s="28"/>
      <c r="GMO59" s="28"/>
      <c r="GMP59" s="28"/>
      <c r="GMQ59" s="28"/>
      <c r="GMR59" s="28"/>
      <c r="GMS59" s="28"/>
      <c r="GMT59" s="28"/>
      <c r="GMU59" s="28"/>
      <c r="GMV59" s="28"/>
      <c r="GMW59" s="28"/>
      <c r="GMX59" s="28"/>
      <c r="GMY59" s="28"/>
      <c r="GMZ59" s="28"/>
      <c r="GNA59" s="28"/>
      <c r="GNB59" s="28"/>
      <c r="GNC59" s="28"/>
      <c r="GND59" s="28"/>
      <c r="GNE59" s="28"/>
      <c r="GNF59" s="28"/>
      <c r="GNG59" s="28"/>
      <c r="GNH59" s="28"/>
      <c r="GNI59" s="28"/>
      <c r="GNJ59" s="28"/>
      <c r="GNK59" s="28"/>
      <c r="GNL59" s="28"/>
      <c r="GNM59" s="28"/>
      <c r="GNN59" s="28"/>
      <c r="GNO59" s="28"/>
      <c r="GNP59" s="28"/>
      <c r="GNQ59" s="28"/>
      <c r="GNR59" s="28"/>
      <c r="GNS59" s="28"/>
      <c r="GNT59" s="28"/>
      <c r="GNU59" s="28"/>
      <c r="GNV59" s="28"/>
      <c r="GNW59" s="28"/>
      <c r="GNX59" s="28"/>
      <c r="GNY59" s="28"/>
      <c r="GNZ59" s="28"/>
      <c r="GOA59" s="28"/>
      <c r="GOB59" s="28"/>
      <c r="GOC59" s="28"/>
      <c r="GOD59" s="28"/>
      <c r="GOE59" s="28"/>
      <c r="GOF59" s="28"/>
      <c r="GOG59" s="28"/>
      <c r="GOH59" s="28"/>
      <c r="GOI59" s="28"/>
      <c r="GOJ59" s="28"/>
      <c r="GOK59" s="28"/>
      <c r="GOL59" s="28"/>
      <c r="GOM59" s="28"/>
      <c r="GON59" s="28"/>
      <c r="GOO59" s="28"/>
      <c r="GOP59" s="28"/>
      <c r="GOQ59" s="28"/>
      <c r="GOR59" s="28"/>
      <c r="GOS59" s="28"/>
      <c r="GOT59" s="28"/>
      <c r="GOU59" s="28"/>
      <c r="GOV59" s="28"/>
      <c r="GOW59" s="28"/>
      <c r="GOX59" s="28"/>
      <c r="GOY59" s="28"/>
      <c r="GOZ59" s="28"/>
      <c r="GPA59" s="28"/>
      <c r="GPB59" s="28"/>
      <c r="GPC59" s="28"/>
      <c r="GPD59" s="28"/>
      <c r="GPE59" s="28"/>
      <c r="GPF59" s="28"/>
      <c r="GPG59" s="28"/>
      <c r="GPH59" s="28"/>
      <c r="GPI59" s="28"/>
      <c r="GPJ59" s="28"/>
      <c r="GPK59" s="28"/>
      <c r="GPL59" s="28"/>
      <c r="GPM59" s="28"/>
      <c r="GPN59" s="28"/>
      <c r="GPO59" s="28"/>
      <c r="GPP59" s="28"/>
      <c r="GPQ59" s="28"/>
      <c r="GPR59" s="28"/>
      <c r="GPS59" s="28"/>
      <c r="GPT59" s="28"/>
      <c r="GPU59" s="28"/>
      <c r="GPV59" s="28"/>
      <c r="GPW59" s="28"/>
      <c r="GPX59" s="28"/>
      <c r="GPY59" s="28"/>
      <c r="GPZ59" s="28"/>
      <c r="GQA59" s="28"/>
      <c r="GQB59" s="28"/>
      <c r="GQC59" s="28"/>
      <c r="GQD59" s="28"/>
      <c r="GQE59" s="28"/>
      <c r="GQF59" s="28"/>
      <c r="GQG59" s="28"/>
      <c r="GQH59" s="28"/>
      <c r="GQI59" s="28"/>
      <c r="GQJ59" s="28"/>
      <c r="GQK59" s="28"/>
      <c r="GQL59" s="28"/>
      <c r="GQM59" s="28"/>
      <c r="GQN59" s="28"/>
      <c r="GQO59" s="28"/>
      <c r="GQP59" s="28"/>
      <c r="GQQ59" s="28"/>
      <c r="GQR59" s="28"/>
      <c r="GQS59" s="28"/>
      <c r="GQT59" s="28"/>
      <c r="GQU59" s="28"/>
      <c r="GQV59" s="28"/>
      <c r="GQW59" s="28"/>
      <c r="GQX59" s="28"/>
      <c r="GQY59" s="28"/>
      <c r="GQZ59" s="28"/>
      <c r="GRA59" s="28"/>
      <c r="GRB59" s="28"/>
      <c r="GRC59" s="28"/>
      <c r="GRD59" s="28"/>
      <c r="GRE59" s="28"/>
      <c r="GRF59" s="28"/>
      <c r="GRG59" s="28"/>
      <c r="GRH59" s="28"/>
      <c r="GRI59" s="28"/>
      <c r="GRJ59" s="28"/>
      <c r="GRK59" s="28"/>
      <c r="GRL59" s="28"/>
      <c r="GRM59" s="28"/>
      <c r="GRN59" s="28"/>
      <c r="GRO59" s="28"/>
      <c r="GRP59" s="28"/>
      <c r="GRQ59" s="28"/>
      <c r="GRR59" s="28"/>
      <c r="GRS59" s="28"/>
      <c r="GRT59" s="28"/>
      <c r="GRU59" s="28"/>
      <c r="GRV59" s="28"/>
      <c r="GRW59" s="28"/>
      <c r="GRX59" s="28"/>
      <c r="GRY59" s="28"/>
      <c r="GRZ59" s="28"/>
      <c r="GSA59" s="28"/>
      <c r="GSB59" s="28"/>
      <c r="GSC59" s="28"/>
      <c r="GSD59" s="28"/>
      <c r="GSE59" s="28"/>
      <c r="GSF59" s="28"/>
      <c r="GSG59" s="28"/>
      <c r="GSH59" s="28"/>
      <c r="GSI59" s="28"/>
      <c r="GSJ59" s="28"/>
      <c r="GSK59" s="28"/>
      <c r="GSL59" s="28"/>
      <c r="GSM59" s="28"/>
      <c r="GSN59" s="28"/>
      <c r="GSO59" s="28"/>
      <c r="GSP59" s="28"/>
      <c r="GSQ59" s="28"/>
      <c r="GSR59" s="28"/>
      <c r="GSS59" s="28"/>
      <c r="GST59" s="28"/>
      <c r="GSU59" s="28"/>
      <c r="GSV59" s="28"/>
      <c r="GSW59" s="28"/>
      <c r="GSX59" s="28"/>
      <c r="GSY59" s="28"/>
      <c r="GSZ59" s="28"/>
      <c r="GTA59" s="28"/>
      <c r="GTB59" s="28"/>
      <c r="GTC59" s="28"/>
      <c r="GTD59" s="28"/>
      <c r="GTE59" s="28"/>
      <c r="GTF59" s="28"/>
      <c r="GTG59" s="28"/>
      <c r="GTH59" s="28"/>
      <c r="GTI59" s="28"/>
      <c r="GTJ59" s="28"/>
      <c r="GTK59" s="28"/>
      <c r="GTL59" s="28"/>
      <c r="GTM59" s="28"/>
      <c r="GTN59" s="28"/>
      <c r="GTO59" s="28"/>
      <c r="GTP59" s="28"/>
      <c r="GTQ59" s="28"/>
      <c r="GTR59" s="28"/>
      <c r="GTS59" s="28"/>
      <c r="GTT59" s="28"/>
      <c r="GTU59" s="28"/>
      <c r="GTV59" s="28"/>
      <c r="GTW59" s="28"/>
      <c r="GTX59" s="28"/>
      <c r="GTY59" s="28"/>
      <c r="GTZ59" s="28"/>
      <c r="GUA59" s="28"/>
      <c r="GUB59" s="28"/>
      <c r="GUC59" s="28"/>
      <c r="GUD59" s="28"/>
      <c r="GUE59" s="28"/>
      <c r="GUF59" s="28"/>
      <c r="GUG59" s="28"/>
      <c r="GUH59" s="28"/>
      <c r="GUI59" s="28"/>
      <c r="GUJ59" s="28"/>
      <c r="GUK59" s="28"/>
      <c r="GUL59" s="28"/>
      <c r="GUM59" s="28"/>
      <c r="GUN59" s="28"/>
      <c r="GUO59" s="28"/>
      <c r="GUP59" s="28"/>
      <c r="GUQ59" s="28"/>
      <c r="GUR59" s="28"/>
      <c r="GUS59" s="28"/>
      <c r="GUT59" s="28"/>
      <c r="GUU59" s="28"/>
      <c r="GUV59" s="28"/>
      <c r="GUW59" s="28"/>
      <c r="GUX59" s="28"/>
      <c r="GUY59" s="28"/>
      <c r="GUZ59" s="28"/>
      <c r="GVA59" s="28"/>
      <c r="GVB59" s="28"/>
      <c r="GVC59" s="28"/>
      <c r="GVD59" s="28"/>
      <c r="GVE59" s="28"/>
      <c r="GVF59" s="28"/>
      <c r="GVG59" s="28"/>
      <c r="GVH59" s="28"/>
      <c r="GVI59" s="28"/>
      <c r="GVJ59" s="28"/>
      <c r="GVK59" s="28"/>
      <c r="GVL59" s="28"/>
      <c r="GVM59" s="28"/>
      <c r="GVN59" s="28"/>
      <c r="GVO59" s="28"/>
      <c r="GVP59" s="28"/>
      <c r="GVQ59" s="28"/>
      <c r="GVR59" s="28"/>
      <c r="GVS59" s="28"/>
      <c r="GVT59" s="28"/>
      <c r="GVU59" s="28"/>
      <c r="GVV59" s="28"/>
      <c r="GVW59" s="28"/>
      <c r="GVX59" s="28"/>
      <c r="GVY59" s="28"/>
      <c r="GVZ59" s="28"/>
      <c r="GWA59" s="28"/>
      <c r="GWB59" s="28"/>
      <c r="GWC59" s="28"/>
      <c r="GWD59" s="28"/>
      <c r="GWE59" s="28"/>
      <c r="GWF59" s="28"/>
      <c r="GWG59" s="28"/>
      <c r="GWH59" s="28"/>
      <c r="GWI59" s="28"/>
      <c r="GWJ59" s="28"/>
      <c r="GWK59" s="28"/>
      <c r="GWL59" s="28"/>
      <c r="GWM59" s="28"/>
      <c r="GWN59" s="28"/>
      <c r="GWO59" s="28"/>
      <c r="GWP59" s="28"/>
      <c r="GWQ59" s="28"/>
      <c r="GWR59" s="28"/>
      <c r="GWS59" s="28"/>
      <c r="GWT59" s="28"/>
      <c r="GWU59" s="28"/>
      <c r="GWV59" s="28"/>
      <c r="GWW59" s="28"/>
      <c r="GWX59" s="28"/>
      <c r="GWY59" s="28"/>
      <c r="GWZ59" s="28"/>
      <c r="GXA59" s="28"/>
      <c r="GXB59" s="28"/>
      <c r="GXC59" s="28"/>
      <c r="GXD59" s="28"/>
      <c r="GXE59" s="28"/>
      <c r="GXF59" s="28"/>
      <c r="GXG59" s="28"/>
      <c r="GXH59" s="28"/>
      <c r="GXI59" s="28"/>
      <c r="GXJ59" s="28"/>
      <c r="GXK59" s="28"/>
      <c r="GXL59" s="28"/>
      <c r="GXM59" s="28"/>
      <c r="GXN59" s="28"/>
      <c r="GXO59" s="28"/>
      <c r="GXP59" s="28"/>
      <c r="GXQ59" s="28"/>
      <c r="GXR59" s="28"/>
      <c r="GXS59" s="28"/>
      <c r="GXT59" s="28"/>
      <c r="GXU59" s="28"/>
      <c r="GXV59" s="28"/>
      <c r="GXW59" s="28"/>
      <c r="GXX59" s="28"/>
      <c r="GXY59" s="28"/>
      <c r="GXZ59" s="28"/>
      <c r="GYA59" s="28"/>
      <c r="GYB59" s="28"/>
      <c r="GYC59" s="28"/>
      <c r="GYD59" s="28"/>
      <c r="GYE59" s="28"/>
      <c r="GYF59" s="28"/>
      <c r="GYG59" s="28"/>
      <c r="GYH59" s="28"/>
      <c r="GYI59" s="28"/>
      <c r="GYJ59" s="28"/>
      <c r="GYK59" s="28"/>
      <c r="GYL59" s="28"/>
      <c r="GYM59" s="28"/>
      <c r="GYN59" s="28"/>
      <c r="GYO59" s="28"/>
      <c r="GYP59" s="28"/>
      <c r="GYQ59" s="28"/>
      <c r="GYR59" s="28"/>
      <c r="GYS59" s="28"/>
      <c r="GYT59" s="28"/>
      <c r="GYU59" s="28"/>
      <c r="GYV59" s="28"/>
      <c r="GYW59" s="28"/>
      <c r="GYX59" s="28"/>
      <c r="GYY59" s="28"/>
      <c r="GYZ59" s="28"/>
      <c r="GZA59" s="28"/>
      <c r="GZB59" s="28"/>
      <c r="GZC59" s="28"/>
      <c r="GZD59" s="28"/>
      <c r="GZE59" s="28"/>
      <c r="GZF59" s="28"/>
      <c r="GZG59" s="28"/>
      <c r="GZH59" s="28"/>
      <c r="GZI59" s="28"/>
      <c r="GZJ59" s="28"/>
      <c r="GZK59" s="28"/>
      <c r="GZL59" s="28"/>
      <c r="GZM59" s="28"/>
      <c r="GZN59" s="28"/>
      <c r="GZO59" s="28"/>
      <c r="GZP59" s="28"/>
      <c r="GZQ59" s="28"/>
      <c r="GZR59" s="28"/>
      <c r="GZS59" s="28"/>
      <c r="GZT59" s="28"/>
      <c r="GZU59" s="28"/>
      <c r="GZV59" s="28"/>
      <c r="GZW59" s="28"/>
      <c r="GZX59" s="28"/>
      <c r="GZY59" s="28"/>
      <c r="GZZ59" s="28"/>
      <c r="HAA59" s="28"/>
      <c r="HAB59" s="28"/>
      <c r="HAC59" s="28"/>
      <c r="HAD59" s="28"/>
      <c r="HAE59" s="28"/>
      <c r="HAF59" s="28"/>
      <c r="HAG59" s="28"/>
      <c r="HAH59" s="28"/>
      <c r="HAI59" s="28"/>
      <c r="HAJ59" s="28"/>
      <c r="HAK59" s="28"/>
      <c r="HAL59" s="28"/>
      <c r="HAM59" s="28"/>
      <c r="HAN59" s="28"/>
      <c r="HAO59" s="28"/>
      <c r="HAP59" s="28"/>
      <c r="HAQ59" s="28"/>
      <c r="HAR59" s="28"/>
      <c r="HAS59" s="28"/>
      <c r="HAT59" s="28"/>
      <c r="HAU59" s="28"/>
      <c r="HAV59" s="28"/>
      <c r="HAW59" s="28"/>
      <c r="HAX59" s="28"/>
      <c r="HAY59" s="28"/>
      <c r="HAZ59" s="28"/>
      <c r="HBA59" s="28"/>
      <c r="HBB59" s="28"/>
      <c r="HBC59" s="28"/>
      <c r="HBD59" s="28"/>
      <c r="HBE59" s="28"/>
      <c r="HBF59" s="28"/>
      <c r="HBG59" s="28"/>
      <c r="HBH59" s="28"/>
      <c r="HBI59" s="28"/>
      <c r="HBJ59" s="28"/>
      <c r="HBK59" s="28"/>
      <c r="HBL59" s="28"/>
      <c r="HBM59" s="28"/>
      <c r="HBN59" s="28"/>
      <c r="HBO59" s="28"/>
      <c r="HBP59" s="28"/>
      <c r="HBQ59" s="28"/>
      <c r="HBR59" s="28"/>
      <c r="HBS59" s="28"/>
      <c r="HBT59" s="28"/>
      <c r="HBU59" s="28"/>
      <c r="HBV59" s="28"/>
      <c r="HBW59" s="28"/>
      <c r="HBX59" s="28"/>
      <c r="HBY59" s="28"/>
      <c r="HBZ59" s="28"/>
      <c r="HCA59" s="28"/>
      <c r="HCB59" s="28"/>
      <c r="HCC59" s="28"/>
      <c r="HCD59" s="28"/>
      <c r="HCE59" s="28"/>
      <c r="HCF59" s="28"/>
      <c r="HCG59" s="28"/>
      <c r="HCH59" s="28"/>
      <c r="HCI59" s="28"/>
      <c r="HCJ59" s="28"/>
      <c r="HCK59" s="28"/>
      <c r="HCL59" s="28"/>
      <c r="HCM59" s="28"/>
      <c r="HCN59" s="28"/>
      <c r="HCO59" s="28"/>
      <c r="HCP59" s="28"/>
      <c r="HCQ59" s="28"/>
      <c r="HCR59" s="28"/>
      <c r="HCS59" s="28"/>
      <c r="HCT59" s="28"/>
      <c r="HCU59" s="28"/>
      <c r="HCV59" s="28"/>
      <c r="HCW59" s="28"/>
      <c r="HCX59" s="28"/>
      <c r="HCY59" s="28"/>
      <c r="HCZ59" s="28"/>
      <c r="HDA59" s="28"/>
      <c r="HDB59" s="28"/>
      <c r="HDC59" s="28"/>
      <c r="HDD59" s="28"/>
      <c r="HDE59" s="28"/>
      <c r="HDF59" s="28"/>
      <c r="HDG59" s="28"/>
      <c r="HDH59" s="28"/>
      <c r="HDI59" s="28"/>
      <c r="HDJ59" s="28"/>
      <c r="HDK59" s="28"/>
      <c r="HDL59" s="28"/>
      <c r="HDM59" s="28"/>
      <c r="HDN59" s="28"/>
      <c r="HDO59" s="28"/>
      <c r="HDP59" s="28"/>
      <c r="HDQ59" s="28"/>
      <c r="HDR59" s="28"/>
      <c r="HDS59" s="28"/>
      <c r="HDT59" s="28"/>
      <c r="HDU59" s="28"/>
      <c r="HDV59" s="28"/>
      <c r="HDW59" s="28"/>
      <c r="HDX59" s="28"/>
      <c r="HDY59" s="28"/>
      <c r="HDZ59" s="28"/>
      <c r="HEA59" s="28"/>
      <c r="HEB59" s="28"/>
      <c r="HEC59" s="28"/>
      <c r="HED59" s="28"/>
      <c r="HEE59" s="28"/>
      <c r="HEF59" s="28"/>
      <c r="HEG59" s="28"/>
      <c r="HEH59" s="28"/>
      <c r="HEI59" s="28"/>
      <c r="HEJ59" s="28"/>
      <c r="HEK59" s="28"/>
      <c r="HEL59" s="28"/>
      <c r="HEM59" s="28"/>
      <c r="HEN59" s="28"/>
      <c r="HEO59" s="28"/>
      <c r="HEP59" s="28"/>
      <c r="HEQ59" s="28"/>
      <c r="HER59" s="28"/>
      <c r="HES59" s="28"/>
      <c r="HET59" s="28"/>
      <c r="HEU59" s="28"/>
      <c r="HEV59" s="28"/>
      <c r="HEW59" s="28"/>
      <c r="HEX59" s="28"/>
      <c r="HEY59" s="28"/>
      <c r="HEZ59" s="28"/>
      <c r="HFA59" s="28"/>
      <c r="HFB59" s="28"/>
      <c r="HFC59" s="28"/>
      <c r="HFD59" s="28"/>
      <c r="HFE59" s="28"/>
      <c r="HFF59" s="28"/>
      <c r="HFG59" s="28"/>
      <c r="HFH59" s="28"/>
      <c r="HFI59" s="28"/>
      <c r="HFJ59" s="28"/>
      <c r="HFK59" s="28"/>
      <c r="HFL59" s="28"/>
      <c r="HFM59" s="28"/>
      <c r="HFN59" s="28"/>
      <c r="HFO59" s="28"/>
      <c r="HFP59" s="28"/>
      <c r="HFQ59" s="28"/>
      <c r="HFR59" s="28"/>
      <c r="HFS59" s="28"/>
      <c r="HFT59" s="28"/>
      <c r="HFU59" s="28"/>
      <c r="HFV59" s="28"/>
      <c r="HFW59" s="28"/>
      <c r="HFX59" s="28"/>
      <c r="HFY59" s="28"/>
      <c r="HFZ59" s="28"/>
      <c r="HGA59" s="28"/>
      <c r="HGB59" s="28"/>
      <c r="HGC59" s="28"/>
      <c r="HGD59" s="28"/>
      <c r="HGE59" s="28"/>
      <c r="HGF59" s="28"/>
      <c r="HGG59" s="28"/>
      <c r="HGH59" s="28"/>
      <c r="HGI59" s="28"/>
      <c r="HGJ59" s="28"/>
      <c r="HGK59" s="28"/>
      <c r="HGL59" s="28"/>
      <c r="HGM59" s="28"/>
      <c r="HGN59" s="28"/>
      <c r="HGO59" s="28"/>
      <c r="HGP59" s="28"/>
      <c r="HGQ59" s="28"/>
      <c r="HGR59" s="28"/>
      <c r="HGS59" s="28"/>
      <c r="HGT59" s="28"/>
      <c r="HGU59" s="28"/>
      <c r="HGV59" s="28"/>
      <c r="HGW59" s="28"/>
      <c r="HGX59" s="28"/>
      <c r="HGY59" s="28"/>
      <c r="HGZ59" s="28"/>
      <c r="HHA59" s="28"/>
      <c r="HHB59" s="28"/>
      <c r="HHC59" s="28"/>
      <c r="HHD59" s="28"/>
      <c r="HHE59" s="28"/>
      <c r="HHF59" s="28"/>
      <c r="HHG59" s="28"/>
      <c r="HHH59" s="28"/>
      <c r="HHI59" s="28"/>
      <c r="HHJ59" s="28"/>
      <c r="HHK59" s="28"/>
      <c r="HHL59" s="28"/>
      <c r="HHM59" s="28"/>
      <c r="HHN59" s="28"/>
      <c r="HHO59" s="28"/>
      <c r="HHP59" s="28"/>
      <c r="HHQ59" s="28"/>
      <c r="HHR59" s="28"/>
      <c r="HHS59" s="28"/>
      <c r="HHT59" s="28"/>
      <c r="HHU59" s="28"/>
      <c r="HHV59" s="28"/>
      <c r="HHW59" s="28"/>
      <c r="HHX59" s="28"/>
      <c r="HHY59" s="28"/>
      <c r="HHZ59" s="28"/>
      <c r="HIA59" s="28"/>
      <c r="HIB59" s="28"/>
      <c r="HIC59" s="28"/>
      <c r="HID59" s="28"/>
      <c r="HIE59" s="28"/>
      <c r="HIF59" s="28"/>
      <c r="HIG59" s="28"/>
      <c r="HIH59" s="28"/>
      <c r="HII59" s="28"/>
      <c r="HIJ59" s="28"/>
      <c r="HIK59" s="28"/>
      <c r="HIL59" s="28"/>
      <c r="HIM59" s="28"/>
      <c r="HIN59" s="28"/>
      <c r="HIO59" s="28"/>
      <c r="HIP59" s="28"/>
      <c r="HIQ59" s="28"/>
      <c r="HIR59" s="28"/>
      <c r="HIS59" s="28"/>
      <c r="HIT59" s="28"/>
      <c r="HIU59" s="28"/>
      <c r="HIV59" s="28"/>
      <c r="HIW59" s="28"/>
      <c r="HIX59" s="28"/>
      <c r="HIY59" s="28"/>
      <c r="HIZ59" s="28"/>
      <c r="HJA59" s="28"/>
      <c r="HJB59" s="28"/>
      <c r="HJC59" s="28"/>
      <c r="HJD59" s="28"/>
      <c r="HJE59" s="28"/>
      <c r="HJF59" s="28"/>
      <c r="HJG59" s="28"/>
      <c r="HJH59" s="28"/>
      <c r="HJI59" s="28"/>
      <c r="HJJ59" s="28"/>
      <c r="HJK59" s="28"/>
      <c r="HJL59" s="28"/>
      <c r="HJM59" s="28"/>
      <c r="HJN59" s="28"/>
      <c r="HJO59" s="28"/>
      <c r="HJP59" s="28"/>
      <c r="HJQ59" s="28"/>
      <c r="HJR59" s="28"/>
      <c r="HJS59" s="28"/>
      <c r="HJT59" s="28"/>
      <c r="HJU59" s="28"/>
      <c r="HJV59" s="28"/>
      <c r="HJW59" s="28"/>
      <c r="HJX59" s="28"/>
      <c r="HJY59" s="28"/>
      <c r="HJZ59" s="28"/>
      <c r="HKA59" s="28"/>
      <c r="HKB59" s="28"/>
      <c r="HKC59" s="28"/>
      <c r="HKD59" s="28"/>
      <c r="HKE59" s="28"/>
      <c r="HKF59" s="28"/>
      <c r="HKG59" s="28"/>
      <c r="HKH59" s="28"/>
      <c r="HKI59" s="28"/>
      <c r="HKJ59" s="28"/>
      <c r="HKK59" s="28"/>
      <c r="HKL59" s="28"/>
      <c r="HKM59" s="28"/>
      <c r="HKN59" s="28"/>
      <c r="HKO59" s="28"/>
      <c r="HKP59" s="28"/>
      <c r="HKQ59" s="28"/>
      <c r="HKR59" s="28"/>
      <c r="HKS59" s="28"/>
      <c r="HKT59" s="28"/>
      <c r="HKU59" s="28"/>
      <c r="HKV59" s="28"/>
      <c r="HKW59" s="28"/>
      <c r="HKX59" s="28"/>
      <c r="HKY59" s="28"/>
      <c r="HKZ59" s="28"/>
      <c r="HLA59" s="28"/>
      <c r="HLB59" s="28"/>
      <c r="HLC59" s="28"/>
      <c r="HLD59" s="28"/>
      <c r="HLE59" s="28"/>
      <c r="HLF59" s="28"/>
      <c r="HLG59" s="28"/>
      <c r="HLH59" s="28"/>
      <c r="HLI59" s="28"/>
      <c r="HLJ59" s="28"/>
      <c r="HLK59" s="28"/>
      <c r="HLL59" s="28"/>
      <c r="HLM59" s="28"/>
      <c r="HLN59" s="28"/>
      <c r="HLO59" s="28"/>
      <c r="HLP59" s="28"/>
      <c r="HLQ59" s="28"/>
      <c r="HLR59" s="28"/>
      <c r="HLS59" s="28"/>
      <c r="HLT59" s="28"/>
      <c r="HLU59" s="28"/>
      <c r="HLV59" s="28"/>
      <c r="HLW59" s="28"/>
      <c r="HLX59" s="28"/>
      <c r="HLY59" s="28"/>
      <c r="HLZ59" s="28"/>
      <c r="HMA59" s="28"/>
      <c r="HMB59" s="28"/>
      <c r="HMC59" s="28"/>
      <c r="HMD59" s="28"/>
      <c r="HME59" s="28"/>
      <c r="HMF59" s="28"/>
      <c r="HMG59" s="28"/>
      <c r="HMH59" s="28"/>
      <c r="HMI59" s="28"/>
      <c r="HMJ59" s="28"/>
      <c r="HMK59" s="28"/>
      <c r="HML59" s="28"/>
      <c r="HMM59" s="28"/>
      <c r="HMN59" s="28"/>
      <c r="HMO59" s="28"/>
      <c r="HMP59" s="28"/>
      <c r="HMQ59" s="28"/>
      <c r="HMR59" s="28"/>
      <c r="HMS59" s="28"/>
      <c r="HMT59" s="28"/>
      <c r="HMU59" s="28"/>
      <c r="HMV59" s="28"/>
      <c r="HMW59" s="28"/>
      <c r="HMX59" s="28"/>
      <c r="HMY59" s="28"/>
      <c r="HMZ59" s="28"/>
      <c r="HNA59" s="28"/>
      <c r="HNB59" s="28"/>
      <c r="HNC59" s="28"/>
      <c r="HND59" s="28"/>
      <c r="HNE59" s="28"/>
      <c r="HNF59" s="28"/>
      <c r="HNG59" s="28"/>
      <c r="HNH59" s="28"/>
      <c r="HNI59" s="28"/>
      <c r="HNJ59" s="28"/>
      <c r="HNK59" s="28"/>
      <c r="HNL59" s="28"/>
      <c r="HNM59" s="28"/>
      <c r="HNN59" s="28"/>
      <c r="HNO59" s="28"/>
      <c r="HNP59" s="28"/>
      <c r="HNQ59" s="28"/>
      <c r="HNR59" s="28"/>
      <c r="HNS59" s="28"/>
      <c r="HNT59" s="28"/>
      <c r="HNU59" s="28"/>
      <c r="HNV59" s="28"/>
      <c r="HNW59" s="28"/>
      <c r="HNX59" s="28"/>
      <c r="HNY59" s="28"/>
      <c r="HNZ59" s="28"/>
      <c r="HOA59" s="28"/>
      <c r="HOB59" s="28"/>
      <c r="HOC59" s="28"/>
      <c r="HOD59" s="28"/>
      <c r="HOE59" s="28"/>
      <c r="HOF59" s="28"/>
      <c r="HOG59" s="28"/>
      <c r="HOH59" s="28"/>
      <c r="HOI59" s="28"/>
      <c r="HOJ59" s="28"/>
      <c r="HOK59" s="28"/>
      <c r="HOL59" s="28"/>
      <c r="HOM59" s="28"/>
      <c r="HON59" s="28"/>
      <c r="HOO59" s="28"/>
      <c r="HOP59" s="28"/>
      <c r="HOQ59" s="28"/>
      <c r="HOR59" s="28"/>
      <c r="HOS59" s="28"/>
      <c r="HOT59" s="28"/>
      <c r="HOU59" s="28"/>
      <c r="HOV59" s="28"/>
      <c r="HOW59" s="28"/>
      <c r="HOX59" s="28"/>
      <c r="HOY59" s="28"/>
      <c r="HOZ59" s="28"/>
      <c r="HPA59" s="28"/>
      <c r="HPB59" s="28"/>
      <c r="HPC59" s="28"/>
      <c r="HPD59" s="28"/>
      <c r="HPE59" s="28"/>
      <c r="HPF59" s="28"/>
      <c r="HPG59" s="28"/>
      <c r="HPH59" s="28"/>
      <c r="HPI59" s="28"/>
      <c r="HPJ59" s="28"/>
      <c r="HPK59" s="28"/>
      <c r="HPL59" s="28"/>
      <c r="HPM59" s="28"/>
      <c r="HPN59" s="28"/>
      <c r="HPO59" s="28"/>
      <c r="HPP59" s="28"/>
      <c r="HPQ59" s="28"/>
      <c r="HPR59" s="28"/>
      <c r="HPS59" s="28"/>
      <c r="HPT59" s="28"/>
      <c r="HPU59" s="28"/>
      <c r="HPV59" s="28"/>
      <c r="HPW59" s="28"/>
      <c r="HPX59" s="28"/>
      <c r="HPY59" s="28"/>
      <c r="HPZ59" s="28"/>
      <c r="HQA59" s="28"/>
      <c r="HQB59" s="28"/>
      <c r="HQC59" s="28"/>
      <c r="HQD59" s="28"/>
      <c r="HQE59" s="28"/>
      <c r="HQF59" s="28"/>
      <c r="HQG59" s="28"/>
      <c r="HQH59" s="28"/>
      <c r="HQI59" s="28"/>
      <c r="HQJ59" s="28"/>
      <c r="HQK59" s="28"/>
      <c r="HQL59" s="28"/>
      <c r="HQM59" s="28"/>
      <c r="HQN59" s="28"/>
      <c r="HQO59" s="28"/>
      <c r="HQP59" s="28"/>
      <c r="HQQ59" s="28"/>
      <c r="HQR59" s="28"/>
      <c r="HQS59" s="28"/>
      <c r="HQT59" s="28"/>
      <c r="HQU59" s="28"/>
      <c r="HQV59" s="28"/>
      <c r="HQW59" s="28"/>
      <c r="HQX59" s="28"/>
      <c r="HQY59" s="28"/>
      <c r="HQZ59" s="28"/>
      <c r="HRA59" s="28"/>
      <c r="HRB59" s="28"/>
      <c r="HRC59" s="28"/>
      <c r="HRD59" s="28"/>
      <c r="HRE59" s="28"/>
      <c r="HRF59" s="28"/>
      <c r="HRG59" s="28"/>
      <c r="HRH59" s="28"/>
      <c r="HRI59" s="28"/>
      <c r="HRJ59" s="28"/>
      <c r="HRK59" s="28"/>
      <c r="HRL59" s="28"/>
      <c r="HRM59" s="28"/>
      <c r="HRN59" s="28"/>
      <c r="HRO59" s="28"/>
      <c r="HRP59" s="28"/>
      <c r="HRQ59" s="28"/>
      <c r="HRR59" s="28"/>
      <c r="HRS59" s="28"/>
      <c r="HRT59" s="28"/>
      <c r="HRU59" s="28"/>
      <c r="HRV59" s="28"/>
      <c r="HRW59" s="28"/>
      <c r="HRX59" s="28"/>
      <c r="HRY59" s="28"/>
      <c r="HRZ59" s="28"/>
      <c r="HSA59" s="28"/>
      <c r="HSB59" s="28"/>
      <c r="HSC59" s="28"/>
      <c r="HSD59" s="28"/>
      <c r="HSE59" s="28"/>
      <c r="HSF59" s="28"/>
      <c r="HSG59" s="28"/>
      <c r="HSH59" s="28"/>
      <c r="HSI59" s="28"/>
      <c r="HSJ59" s="28"/>
      <c r="HSK59" s="28"/>
      <c r="HSL59" s="28"/>
      <c r="HSM59" s="28"/>
      <c r="HSN59" s="28"/>
      <c r="HSO59" s="28"/>
      <c r="HSP59" s="28"/>
      <c r="HSQ59" s="28"/>
      <c r="HSR59" s="28"/>
      <c r="HSS59" s="28"/>
      <c r="HST59" s="28"/>
      <c r="HSU59" s="28"/>
      <c r="HSV59" s="28"/>
      <c r="HSW59" s="28"/>
      <c r="HSX59" s="28"/>
      <c r="HSY59" s="28"/>
      <c r="HSZ59" s="28"/>
      <c r="HTA59" s="28"/>
      <c r="HTB59" s="28"/>
      <c r="HTC59" s="28"/>
      <c r="HTD59" s="28"/>
      <c r="HTE59" s="28"/>
      <c r="HTF59" s="28"/>
      <c r="HTG59" s="28"/>
      <c r="HTH59" s="28"/>
      <c r="HTI59" s="28"/>
      <c r="HTJ59" s="28"/>
      <c r="HTK59" s="28"/>
      <c r="HTL59" s="28"/>
      <c r="HTM59" s="28"/>
      <c r="HTN59" s="28"/>
      <c r="HTO59" s="28"/>
      <c r="HTP59" s="28"/>
      <c r="HTQ59" s="28"/>
      <c r="HTR59" s="28"/>
      <c r="HTS59" s="28"/>
      <c r="HTT59" s="28"/>
      <c r="HTU59" s="28"/>
      <c r="HTV59" s="28"/>
      <c r="HTW59" s="28"/>
      <c r="HTX59" s="28"/>
      <c r="HTY59" s="28"/>
      <c r="HTZ59" s="28"/>
      <c r="HUA59" s="28"/>
      <c r="HUB59" s="28"/>
      <c r="HUC59" s="28"/>
      <c r="HUD59" s="28"/>
      <c r="HUE59" s="28"/>
      <c r="HUF59" s="28"/>
      <c r="HUG59" s="28"/>
      <c r="HUH59" s="28"/>
      <c r="HUI59" s="28"/>
      <c r="HUJ59" s="28"/>
      <c r="HUK59" s="28"/>
      <c r="HUL59" s="28"/>
      <c r="HUM59" s="28"/>
      <c r="HUN59" s="28"/>
      <c r="HUO59" s="28"/>
      <c r="HUP59" s="28"/>
      <c r="HUQ59" s="28"/>
      <c r="HUR59" s="28"/>
      <c r="HUS59" s="28"/>
      <c r="HUT59" s="28"/>
      <c r="HUU59" s="28"/>
      <c r="HUV59" s="28"/>
      <c r="HUW59" s="28"/>
      <c r="HUX59" s="28"/>
      <c r="HUY59" s="28"/>
      <c r="HUZ59" s="28"/>
      <c r="HVA59" s="28"/>
      <c r="HVB59" s="28"/>
      <c r="HVC59" s="28"/>
      <c r="HVD59" s="28"/>
      <c r="HVE59" s="28"/>
      <c r="HVF59" s="28"/>
      <c r="HVG59" s="28"/>
      <c r="HVH59" s="28"/>
      <c r="HVI59" s="28"/>
      <c r="HVJ59" s="28"/>
      <c r="HVK59" s="28"/>
      <c r="HVL59" s="28"/>
      <c r="HVM59" s="28"/>
      <c r="HVN59" s="28"/>
      <c r="HVO59" s="28"/>
      <c r="HVP59" s="28"/>
      <c r="HVQ59" s="28"/>
      <c r="HVR59" s="28"/>
      <c r="HVS59" s="28"/>
      <c r="HVT59" s="28"/>
      <c r="HVU59" s="28"/>
      <c r="HVV59" s="28"/>
      <c r="HVW59" s="28"/>
      <c r="HVX59" s="28"/>
      <c r="HVY59" s="28"/>
      <c r="HVZ59" s="28"/>
      <c r="HWA59" s="28"/>
      <c r="HWB59" s="28"/>
      <c r="HWC59" s="28"/>
      <c r="HWD59" s="28"/>
      <c r="HWE59" s="28"/>
      <c r="HWF59" s="28"/>
      <c r="HWG59" s="28"/>
      <c r="HWH59" s="28"/>
      <c r="HWI59" s="28"/>
      <c r="HWJ59" s="28"/>
      <c r="HWK59" s="28"/>
      <c r="HWL59" s="28"/>
      <c r="HWM59" s="28"/>
      <c r="HWN59" s="28"/>
      <c r="HWO59" s="28"/>
      <c r="HWP59" s="28"/>
      <c r="HWQ59" s="28"/>
      <c r="HWR59" s="28"/>
      <c r="HWS59" s="28"/>
      <c r="HWT59" s="28"/>
      <c r="HWU59" s="28"/>
      <c r="HWV59" s="28"/>
      <c r="HWW59" s="28"/>
      <c r="HWX59" s="28"/>
      <c r="HWY59" s="28"/>
      <c r="HWZ59" s="28"/>
      <c r="HXA59" s="28"/>
      <c r="HXB59" s="28"/>
      <c r="HXC59" s="28"/>
      <c r="HXD59" s="28"/>
      <c r="HXE59" s="28"/>
      <c r="HXF59" s="28"/>
      <c r="HXG59" s="28"/>
      <c r="HXH59" s="28"/>
      <c r="HXI59" s="28"/>
      <c r="HXJ59" s="28"/>
      <c r="HXK59" s="28"/>
      <c r="HXL59" s="28"/>
      <c r="HXM59" s="28"/>
      <c r="HXN59" s="28"/>
      <c r="HXO59" s="28"/>
      <c r="HXP59" s="28"/>
      <c r="HXQ59" s="28"/>
      <c r="HXR59" s="28"/>
      <c r="HXS59" s="28"/>
      <c r="HXT59" s="28"/>
      <c r="HXU59" s="28"/>
      <c r="HXV59" s="28"/>
      <c r="HXW59" s="28"/>
      <c r="HXX59" s="28"/>
      <c r="HXY59" s="28"/>
      <c r="HXZ59" s="28"/>
      <c r="HYA59" s="28"/>
      <c r="HYB59" s="28"/>
      <c r="HYC59" s="28"/>
      <c r="HYD59" s="28"/>
      <c r="HYE59" s="28"/>
      <c r="HYF59" s="28"/>
      <c r="HYG59" s="28"/>
      <c r="HYH59" s="28"/>
      <c r="HYI59" s="28"/>
      <c r="HYJ59" s="28"/>
      <c r="HYK59" s="28"/>
      <c r="HYL59" s="28"/>
      <c r="HYM59" s="28"/>
      <c r="HYN59" s="28"/>
      <c r="HYO59" s="28"/>
      <c r="HYP59" s="28"/>
      <c r="HYQ59" s="28"/>
      <c r="HYR59" s="28"/>
      <c r="HYS59" s="28"/>
      <c r="HYT59" s="28"/>
      <c r="HYU59" s="28"/>
      <c r="HYV59" s="28"/>
      <c r="HYW59" s="28"/>
      <c r="HYX59" s="28"/>
      <c r="HYY59" s="28"/>
      <c r="HYZ59" s="28"/>
      <c r="HZA59" s="28"/>
      <c r="HZB59" s="28"/>
      <c r="HZC59" s="28"/>
      <c r="HZD59" s="28"/>
      <c r="HZE59" s="28"/>
      <c r="HZF59" s="28"/>
      <c r="HZG59" s="28"/>
      <c r="HZH59" s="28"/>
      <c r="HZI59" s="28"/>
      <c r="HZJ59" s="28"/>
      <c r="HZK59" s="28"/>
      <c r="HZL59" s="28"/>
      <c r="HZM59" s="28"/>
      <c r="HZN59" s="28"/>
      <c r="HZO59" s="28"/>
      <c r="HZP59" s="28"/>
      <c r="HZQ59" s="28"/>
      <c r="HZR59" s="28"/>
      <c r="HZS59" s="28"/>
      <c r="HZT59" s="28"/>
      <c r="HZU59" s="28"/>
      <c r="HZV59" s="28"/>
      <c r="HZW59" s="28"/>
      <c r="HZX59" s="28"/>
      <c r="HZY59" s="28"/>
      <c r="HZZ59" s="28"/>
      <c r="IAA59" s="28"/>
      <c r="IAB59" s="28"/>
      <c r="IAC59" s="28"/>
      <c r="IAD59" s="28"/>
      <c r="IAE59" s="28"/>
      <c r="IAF59" s="28"/>
      <c r="IAG59" s="28"/>
      <c r="IAH59" s="28"/>
      <c r="IAI59" s="28"/>
      <c r="IAJ59" s="28"/>
      <c r="IAK59" s="28"/>
      <c r="IAL59" s="28"/>
      <c r="IAM59" s="28"/>
      <c r="IAN59" s="28"/>
      <c r="IAO59" s="28"/>
      <c r="IAP59" s="28"/>
      <c r="IAQ59" s="28"/>
      <c r="IAR59" s="28"/>
      <c r="IAS59" s="28"/>
      <c r="IAT59" s="28"/>
      <c r="IAU59" s="28"/>
      <c r="IAV59" s="28"/>
      <c r="IAW59" s="28"/>
      <c r="IAX59" s="28"/>
      <c r="IAY59" s="28"/>
      <c r="IAZ59" s="28"/>
      <c r="IBA59" s="28"/>
      <c r="IBB59" s="28"/>
      <c r="IBC59" s="28"/>
      <c r="IBD59" s="28"/>
      <c r="IBE59" s="28"/>
      <c r="IBF59" s="28"/>
      <c r="IBG59" s="28"/>
      <c r="IBH59" s="28"/>
      <c r="IBI59" s="28"/>
      <c r="IBJ59" s="28"/>
      <c r="IBK59" s="28"/>
      <c r="IBL59" s="28"/>
      <c r="IBM59" s="28"/>
      <c r="IBN59" s="28"/>
      <c r="IBO59" s="28"/>
      <c r="IBP59" s="28"/>
      <c r="IBQ59" s="28"/>
      <c r="IBR59" s="28"/>
      <c r="IBS59" s="28"/>
      <c r="IBT59" s="28"/>
      <c r="IBU59" s="28"/>
      <c r="IBV59" s="28"/>
      <c r="IBW59" s="28"/>
      <c r="IBX59" s="28"/>
      <c r="IBY59" s="28"/>
      <c r="IBZ59" s="28"/>
      <c r="ICA59" s="28"/>
      <c r="ICB59" s="28"/>
      <c r="ICC59" s="28"/>
      <c r="ICD59" s="28"/>
      <c r="ICE59" s="28"/>
      <c r="ICF59" s="28"/>
      <c r="ICG59" s="28"/>
      <c r="ICH59" s="28"/>
      <c r="ICI59" s="28"/>
      <c r="ICJ59" s="28"/>
      <c r="ICK59" s="28"/>
      <c r="ICL59" s="28"/>
      <c r="ICM59" s="28"/>
      <c r="ICN59" s="28"/>
      <c r="ICO59" s="28"/>
      <c r="ICP59" s="28"/>
      <c r="ICQ59" s="28"/>
      <c r="ICR59" s="28"/>
      <c r="ICS59" s="28"/>
      <c r="ICT59" s="28"/>
      <c r="ICU59" s="28"/>
      <c r="ICV59" s="28"/>
      <c r="ICW59" s="28"/>
      <c r="ICX59" s="28"/>
      <c r="ICY59" s="28"/>
      <c r="ICZ59" s="28"/>
      <c r="IDA59" s="28"/>
      <c r="IDB59" s="28"/>
      <c r="IDC59" s="28"/>
      <c r="IDD59" s="28"/>
      <c r="IDE59" s="28"/>
      <c r="IDF59" s="28"/>
      <c r="IDG59" s="28"/>
      <c r="IDH59" s="28"/>
      <c r="IDI59" s="28"/>
      <c r="IDJ59" s="28"/>
      <c r="IDK59" s="28"/>
      <c r="IDL59" s="28"/>
      <c r="IDM59" s="28"/>
      <c r="IDN59" s="28"/>
      <c r="IDO59" s="28"/>
      <c r="IDP59" s="28"/>
      <c r="IDQ59" s="28"/>
      <c r="IDR59" s="28"/>
      <c r="IDS59" s="28"/>
      <c r="IDT59" s="28"/>
      <c r="IDU59" s="28"/>
      <c r="IDV59" s="28"/>
      <c r="IDW59" s="28"/>
      <c r="IDX59" s="28"/>
      <c r="IDY59" s="28"/>
      <c r="IDZ59" s="28"/>
      <c r="IEA59" s="28"/>
      <c r="IEB59" s="28"/>
      <c r="IEC59" s="28"/>
      <c r="IED59" s="28"/>
      <c r="IEE59" s="28"/>
      <c r="IEF59" s="28"/>
      <c r="IEG59" s="28"/>
      <c r="IEH59" s="28"/>
      <c r="IEI59" s="28"/>
      <c r="IEJ59" s="28"/>
      <c r="IEK59" s="28"/>
      <c r="IEL59" s="28"/>
      <c r="IEM59" s="28"/>
      <c r="IEN59" s="28"/>
      <c r="IEO59" s="28"/>
      <c r="IEP59" s="28"/>
      <c r="IEQ59" s="28"/>
      <c r="IER59" s="28"/>
      <c r="IES59" s="28"/>
      <c r="IET59" s="28"/>
      <c r="IEU59" s="28"/>
      <c r="IEV59" s="28"/>
      <c r="IEW59" s="28"/>
      <c r="IEX59" s="28"/>
      <c r="IEY59" s="28"/>
      <c r="IEZ59" s="28"/>
      <c r="IFA59" s="28"/>
      <c r="IFB59" s="28"/>
      <c r="IFC59" s="28"/>
      <c r="IFD59" s="28"/>
      <c r="IFE59" s="28"/>
      <c r="IFF59" s="28"/>
      <c r="IFG59" s="28"/>
      <c r="IFH59" s="28"/>
      <c r="IFI59" s="28"/>
      <c r="IFJ59" s="28"/>
      <c r="IFK59" s="28"/>
      <c r="IFL59" s="28"/>
      <c r="IFM59" s="28"/>
      <c r="IFN59" s="28"/>
      <c r="IFO59" s="28"/>
      <c r="IFP59" s="28"/>
      <c r="IFQ59" s="28"/>
      <c r="IFR59" s="28"/>
      <c r="IFS59" s="28"/>
      <c r="IFT59" s="28"/>
      <c r="IFU59" s="28"/>
      <c r="IFV59" s="28"/>
      <c r="IFW59" s="28"/>
      <c r="IFX59" s="28"/>
      <c r="IFY59" s="28"/>
      <c r="IFZ59" s="28"/>
      <c r="IGA59" s="28"/>
      <c r="IGB59" s="28"/>
      <c r="IGC59" s="28"/>
      <c r="IGD59" s="28"/>
      <c r="IGE59" s="28"/>
      <c r="IGF59" s="28"/>
      <c r="IGG59" s="28"/>
      <c r="IGH59" s="28"/>
      <c r="IGI59" s="28"/>
      <c r="IGJ59" s="28"/>
      <c r="IGK59" s="28"/>
      <c r="IGL59" s="28"/>
      <c r="IGM59" s="28"/>
      <c r="IGN59" s="28"/>
      <c r="IGO59" s="28"/>
      <c r="IGP59" s="28"/>
      <c r="IGQ59" s="28"/>
      <c r="IGR59" s="28"/>
      <c r="IGS59" s="28"/>
      <c r="IGT59" s="28"/>
      <c r="IGU59" s="28"/>
      <c r="IGV59" s="28"/>
      <c r="IGW59" s="28"/>
      <c r="IGX59" s="28"/>
      <c r="IGY59" s="28"/>
      <c r="IGZ59" s="28"/>
      <c r="IHA59" s="28"/>
      <c r="IHB59" s="28"/>
      <c r="IHC59" s="28"/>
      <c r="IHD59" s="28"/>
      <c r="IHE59" s="28"/>
      <c r="IHF59" s="28"/>
      <c r="IHG59" s="28"/>
      <c r="IHH59" s="28"/>
      <c r="IHI59" s="28"/>
      <c r="IHJ59" s="28"/>
      <c r="IHK59" s="28"/>
      <c r="IHL59" s="28"/>
      <c r="IHM59" s="28"/>
      <c r="IHN59" s="28"/>
      <c r="IHO59" s="28"/>
      <c r="IHP59" s="28"/>
      <c r="IHQ59" s="28"/>
      <c r="IHR59" s="28"/>
      <c r="IHS59" s="28"/>
      <c r="IHT59" s="28"/>
      <c r="IHU59" s="28"/>
      <c r="IHV59" s="28"/>
      <c r="IHW59" s="28"/>
      <c r="IHX59" s="28"/>
      <c r="IHY59" s="28"/>
      <c r="IHZ59" s="28"/>
      <c r="IIA59" s="28"/>
      <c r="IIB59" s="28"/>
      <c r="IIC59" s="28"/>
      <c r="IID59" s="28"/>
      <c r="IIE59" s="28"/>
      <c r="IIF59" s="28"/>
      <c r="IIG59" s="28"/>
      <c r="IIH59" s="28"/>
      <c r="III59" s="28"/>
      <c r="IIJ59" s="28"/>
      <c r="IIK59" s="28"/>
      <c r="IIL59" s="28"/>
      <c r="IIM59" s="28"/>
      <c r="IIN59" s="28"/>
      <c r="IIO59" s="28"/>
      <c r="IIP59" s="28"/>
      <c r="IIQ59" s="28"/>
      <c r="IIR59" s="28"/>
      <c r="IIS59" s="28"/>
      <c r="IIT59" s="28"/>
      <c r="IIU59" s="28"/>
      <c r="IIV59" s="28"/>
      <c r="IIW59" s="28"/>
      <c r="IIX59" s="28"/>
      <c r="IIY59" s="28"/>
      <c r="IIZ59" s="28"/>
      <c r="IJA59" s="28"/>
      <c r="IJB59" s="28"/>
      <c r="IJC59" s="28"/>
      <c r="IJD59" s="28"/>
      <c r="IJE59" s="28"/>
      <c r="IJF59" s="28"/>
      <c r="IJG59" s="28"/>
      <c r="IJH59" s="28"/>
      <c r="IJI59" s="28"/>
      <c r="IJJ59" s="28"/>
      <c r="IJK59" s="28"/>
      <c r="IJL59" s="28"/>
      <c r="IJM59" s="28"/>
      <c r="IJN59" s="28"/>
      <c r="IJO59" s="28"/>
      <c r="IJP59" s="28"/>
      <c r="IJQ59" s="28"/>
      <c r="IJR59" s="28"/>
      <c r="IJS59" s="28"/>
      <c r="IJT59" s="28"/>
      <c r="IJU59" s="28"/>
      <c r="IJV59" s="28"/>
      <c r="IJW59" s="28"/>
      <c r="IJX59" s="28"/>
      <c r="IJY59" s="28"/>
      <c r="IJZ59" s="28"/>
      <c r="IKA59" s="28"/>
      <c r="IKB59" s="28"/>
      <c r="IKC59" s="28"/>
      <c r="IKD59" s="28"/>
      <c r="IKE59" s="28"/>
      <c r="IKF59" s="28"/>
      <c r="IKG59" s="28"/>
      <c r="IKH59" s="28"/>
      <c r="IKI59" s="28"/>
      <c r="IKJ59" s="28"/>
      <c r="IKK59" s="28"/>
      <c r="IKL59" s="28"/>
      <c r="IKM59" s="28"/>
      <c r="IKN59" s="28"/>
      <c r="IKO59" s="28"/>
      <c r="IKP59" s="28"/>
      <c r="IKQ59" s="28"/>
      <c r="IKR59" s="28"/>
      <c r="IKS59" s="28"/>
      <c r="IKT59" s="28"/>
      <c r="IKU59" s="28"/>
      <c r="IKV59" s="28"/>
      <c r="IKW59" s="28"/>
      <c r="IKX59" s="28"/>
      <c r="IKY59" s="28"/>
      <c r="IKZ59" s="28"/>
      <c r="ILA59" s="28"/>
      <c r="ILB59" s="28"/>
      <c r="ILC59" s="28"/>
      <c r="ILD59" s="28"/>
      <c r="ILE59" s="28"/>
      <c r="ILF59" s="28"/>
      <c r="ILG59" s="28"/>
      <c r="ILH59" s="28"/>
      <c r="ILI59" s="28"/>
      <c r="ILJ59" s="28"/>
      <c r="ILK59" s="28"/>
      <c r="ILL59" s="28"/>
      <c r="ILM59" s="28"/>
      <c r="ILN59" s="28"/>
      <c r="ILO59" s="28"/>
      <c r="ILP59" s="28"/>
      <c r="ILQ59" s="28"/>
      <c r="ILR59" s="28"/>
      <c r="ILS59" s="28"/>
      <c r="ILT59" s="28"/>
      <c r="ILU59" s="28"/>
      <c r="ILV59" s="28"/>
      <c r="ILW59" s="28"/>
      <c r="ILX59" s="28"/>
      <c r="ILY59" s="28"/>
      <c r="ILZ59" s="28"/>
      <c r="IMA59" s="28"/>
      <c r="IMB59" s="28"/>
      <c r="IMC59" s="28"/>
      <c r="IMD59" s="28"/>
      <c r="IME59" s="28"/>
      <c r="IMF59" s="28"/>
      <c r="IMG59" s="28"/>
      <c r="IMH59" s="28"/>
      <c r="IMI59" s="28"/>
      <c r="IMJ59" s="28"/>
      <c r="IMK59" s="28"/>
      <c r="IML59" s="28"/>
      <c r="IMM59" s="28"/>
      <c r="IMN59" s="28"/>
      <c r="IMO59" s="28"/>
      <c r="IMP59" s="28"/>
      <c r="IMQ59" s="28"/>
      <c r="IMR59" s="28"/>
      <c r="IMS59" s="28"/>
      <c r="IMT59" s="28"/>
      <c r="IMU59" s="28"/>
      <c r="IMV59" s="28"/>
      <c r="IMW59" s="28"/>
      <c r="IMX59" s="28"/>
      <c r="IMY59" s="28"/>
      <c r="IMZ59" s="28"/>
      <c r="INA59" s="28"/>
      <c r="INB59" s="28"/>
      <c r="INC59" s="28"/>
      <c r="IND59" s="28"/>
      <c r="INE59" s="28"/>
      <c r="INF59" s="28"/>
      <c r="ING59" s="28"/>
      <c r="INH59" s="28"/>
      <c r="INI59" s="28"/>
      <c r="INJ59" s="28"/>
      <c r="INK59" s="28"/>
      <c r="INL59" s="28"/>
      <c r="INM59" s="28"/>
      <c r="INN59" s="28"/>
      <c r="INO59" s="28"/>
      <c r="INP59" s="28"/>
      <c r="INQ59" s="28"/>
      <c r="INR59" s="28"/>
      <c r="INS59" s="28"/>
      <c r="INT59" s="28"/>
      <c r="INU59" s="28"/>
      <c r="INV59" s="28"/>
      <c r="INW59" s="28"/>
      <c r="INX59" s="28"/>
      <c r="INY59" s="28"/>
      <c r="INZ59" s="28"/>
      <c r="IOA59" s="28"/>
      <c r="IOB59" s="28"/>
      <c r="IOC59" s="28"/>
      <c r="IOD59" s="28"/>
      <c r="IOE59" s="28"/>
      <c r="IOF59" s="28"/>
      <c r="IOG59" s="28"/>
      <c r="IOH59" s="28"/>
      <c r="IOI59" s="28"/>
      <c r="IOJ59" s="28"/>
      <c r="IOK59" s="28"/>
      <c r="IOL59" s="28"/>
      <c r="IOM59" s="28"/>
      <c r="ION59" s="28"/>
      <c r="IOO59" s="28"/>
      <c r="IOP59" s="28"/>
      <c r="IOQ59" s="28"/>
      <c r="IOR59" s="28"/>
      <c r="IOS59" s="28"/>
      <c r="IOT59" s="28"/>
      <c r="IOU59" s="28"/>
      <c r="IOV59" s="28"/>
      <c r="IOW59" s="28"/>
      <c r="IOX59" s="28"/>
      <c r="IOY59" s="28"/>
      <c r="IOZ59" s="28"/>
      <c r="IPA59" s="28"/>
      <c r="IPB59" s="28"/>
      <c r="IPC59" s="28"/>
      <c r="IPD59" s="28"/>
      <c r="IPE59" s="28"/>
      <c r="IPF59" s="28"/>
      <c r="IPG59" s="28"/>
      <c r="IPH59" s="28"/>
      <c r="IPI59" s="28"/>
      <c r="IPJ59" s="28"/>
      <c r="IPK59" s="28"/>
      <c r="IPL59" s="28"/>
      <c r="IPM59" s="28"/>
      <c r="IPN59" s="28"/>
      <c r="IPO59" s="28"/>
      <c r="IPP59" s="28"/>
      <c r="IPQ59" s="28"/>
      <c r="IPR59" s="28"/>
      <c r="IPS59" s="28"/>
      <c r="IPT59" s="28"/>
      <c r="IPU59" s="28"/>
      <c r="IPV59" s="28"/>
      <c r="IPW59" s="28"/>
      <c r="IPX59" s="28"/>
      <c r="IPY59" s="28"/>
      <c r="IPZ59" s="28"/>
      <c r="IQA59" s="28"/>
      <c r="IQB59" s="28"/>
      <c r="IQC59" s="28"/>
      <c r="IQD59" s="28"/>
      <c r="IQE59" s="28"/>
      <c r="IQF59" s="28"/>
      <c r="IQG59" s="28"/>
      <c r="IQH59" s="28"/>
      <c r="IQI59" s="28"/>
      <c r="IQJ59" s="28"/>
      <c r="IQK59" s="28"/>
      <c r="IQL59" s="28"/>
      <c r="IQM59" s="28"/>
      <c r="IQN59" s="28"/>
      <c r="IQO59" s="28"/>
      <c r="IQP59" s="28"/>
      <c r="IQQ59" s="28"/>
      <c r="IQR59" s="28"/>
      <c r="IQS59" s="28"/>
      <c r="IQT59" s="28"/>
      <c r="IQU59" s="28"/>
      <c r="IQV59" s="28"/>
      <c r="IQW59" s="28"/>
      <c r="IQX59" s="28"/>
      <c r="IQY59" s="28"/>
      <c r="IQZ59" s="28"/>
      <c r="IRA59" s="28"/>
      <c r="IRB59" s="28"/>
      <c r="IRC59" s="28"/>
      <c r="IRD59" s="28"/>
      <c r="IRE59" s="28"/>
      <c r="IRF59" s="28"/>
      <c r="IRG59" s="28"/>
      <c r="IRH59" s="28"/>
      <c r="IRI59" s="28"/>
      <c r="IRJ59" s="28"/>
      <c r="IRK59" s="28"/>
      <c r="IRL59" s="28"/>
      <c r="IRM59" s="28"/>
      <c r="IRN59" s="28"/>
      <c r="IRO59" s="28"/>
      <c r="IRP59" s="28"/>
      <c r="IRQ59" s="28"/>
      <c r="IRR59" s="28"/>
      <c r="IRS59" s="28"/>
      <c r="IRT59" s="28"/>
      <c r="IRU59" s="28"/>
      <c r="IRV59" s="28"/>
      <c r="IRW59" s="28"/>
      <c r="IRX59" s="28"/>
      <c r="IRY59" s="28"/>
      <c r="IRZ59" s="28"/>
      <c r="ISA59" s="28"/>
      <c r="ISB59" s="28"/>
      <c r="ISC59" s="28"/>
      <c r="ISD59" s="28"/>
      <c r="ISE59" s="28"/>
      <c r="ISF59" s="28"/>
      <c r="ISG59" s="28"/>
      <c r="ISH59" s="28"/>
      <c r="ISI59" s="28"/>
      <c r="ISJ59" s="28"/>
      <c r="ISK59" s="28"/>
      <c r="ISL59" s="28"/>
      <c r="ISM59" s="28"/>
      <c r="ISN59" s="28"/>
      <c r="ISO59" s="28"/>
      <c r="ISP59" s="28"/>
      <c r="ISQ59" s="28"/>
      <c r="ISR59" s="28"/>
      <c r="ISS59" s="28"/>
      <c r="IST59" s="28"/>
      <c r="ISU59" s="28"/>
      <c r="ISV59" s="28"/>
      <c r="ISW59" s="28"/>
      <c r="ISX59" s="28"/>
      <c r="ISY59" s="28"/>
      <c r="ISZ59" s="28"/>
      <c r="ITA59" s="28"/>
      <c r="ITB59" s="28"/>
      <c r="ITC59" s="28"/>
      <c r="ITD59" s="28"/>
      <c r="ITE59" s="28"/>
      <c r="ITF59" s="28"/>
      <c r="ITG59" s="28"/>
      <c r="ITH59" s="28"/>
      <c r="ITI59" s="28"/>
      <c r="ITJ59" s="28"/>
      <c r="ITK59" s="28"/>
      <c r="ITL59" s="28"/>
      <c r="ITM59" s="28"/>
      <c r="ITN59" s="28"/>
      <c r="ITO59" s="28"/>
      <c r="ITP59" s="28"/>
      <c r="ITQ59" s="28"/>
      <c r="ITR59" s="28"/>
      <c r="ITS59" s="28"/>
      <c r="ITT59" s="28"/>
      <c r="ITU59" s="28"/>
      <c r="ITV59" s="28"/>
      <c r="ITW59" s="28"/>
      <c r="ITX59" s="28"/>
      <c r="ITY59" s="28"/>
      <c r="ITZ59" s="28"/>
      <c r="IUA59" s="28"/>
      <c r="IUB59" s="28"/>
      <c r="IUC59" s="28"/>
      <c r="IUD59" s="28"/>
      <c r="IUE59" s="28"/>
      <c r="IUF59" s="28"/>
      <c r="IUG59" s="28"/>
      <c r="IUH59" s="28"/>
      <c r="IUI59" s="28"/>
      <c r="IUJ59" s="28"/>
      <c r="IUK59" s="28"/>
      <c r="IUL59" s="28"/>
      <c r="IUM59" s="28"/>
      <c r="IUN59" s="28"/>
      <c r="IUO59" s="28"/>
      <c r="IUP59" s="28"/>
      <c r="IUQ59" s="28"/>
      <c r="IUR59" s="28"/>
      <c r="IUS59" s="28"/>
      <c r="IUT59" s="28"/>
      <c r="IUU59" s="28"/>
      <c r="IUV59" s="28"/>
      <c r="IUW59" s="28"/>
      <c r="IUX59" s="28"/>
      <c r="IUY59" s="28"/>
      <c r="IUZ59" s="28"/>
      <c r="IVA59" s="28"/>
      <c r="IVB59" s="28"/>
      <c r="IVC59" s="28"/>
      <c r="IVD59" s="28"/>
      <c r="IVE59" s="28"/>
      <c r="IVF59" s="28"/>
      <c r="IVG59" s="28"/>
      <c r="IVH59" s="28"/>
      <c r="IVI59" s="28"/>
      <c r="IVJ59" s="28"/>
      <c r="IVK59" s="28"/>
      <c r="IVL59" s="28"/>
      <c r="IVM59" s="28"/>
      <c r="IVN59" s="28"/>
      <c r="IVO59" s="28"/>
      <c r="IVP59" s="28"/>
      <c r="IVQ59" s="28"/>
      <c r="IVR59" s="28"/>
      <c r="IVS59" s="28"/>
      <c r="IVT59" s="28"/>
      <c r="IVU59" s="28"/>
      <c r="IVV59" s="28"/>
      <c r="IVW59" s="28"/>
      <c r="IVX59" s="28"/>
      <c r="IVY59" s="28"/>
      <c r="IVZ59" s="28"/>
      <c r="IWA59" s="28"/>
      <c r="IWB59" s="28"/>
      <c r="IWC59" s="28"/>
      <c r="IWD59" s="28"/>
      <c r="IWE59" s="28"/>
      <c r="IWF59" s="28"/>
      <c r="IWG59" s="28"/>
      <c r="IWH59" s="28"/>
      <c r="IWI59" s="28"/>
      <c r="IWJ59" s="28"/>
      <c r="IWK59" s="28"/>
      <c r="IWL59" s="28"/>
      <c r="IWM59" s="28"/>
      <c r="IWN59" s="28"/>
      <c r="IWO59" s="28"/>
      <c r="IWP59" s="28"/>
      <c r="IWQ59" s="28"/>
      <c r="IWR59" s="28"/>
      <c r="IWS59" s="28"/>
      <c r="IWT59" s="28"/>
      <c r="IWU59" s="28"/>
      <c r="IWV59" s="28"/>
      <c r="IWW59" s="28"/>
      <c r="IWX59" s="28"/>
      <c r="IWY59" s="28"/>
      <c r="IWZ59" s="28"/>
      <c r="IXA59" s="28"/>
      <c r="IXB59" s="28"/>
      <c r="IXC59" s="28"/>
      <c r="IXD59" s="28"/>
      <c r="IXE59" s="28"/>
      <c r="IXF59" s="28"/>
      <c r="IXG59" s="28"/>
      <c r="IXH59" s="28"/>
      <c r="IXI59" s="28"/>
      <c r="IXJ59" s="28"/>
      <c r="IXK59" s="28"/>
      <c r="IXL59" s="28"/>
      <c r="IXM59" s="28"/>
      <c r="IXN59" s="28"/>
      <c r="IXO59" s="28"/>
      <c r="IXP59" s="28"/>
      <c r="IXQ59" s="28"/>
      <c r="IXR59" s="28"/>
      <c r="IXS59" s="28"/>
      <c r="IXT59" s="28"/>
      <c r="IXU59" s="28"/>
      <c r="IXV59" s="28"/>
      <c r="IXW59" s="28"/>
      <c r="IXX59" s="28"/>
      <c r="IXY59" s="28"/>
      <c r="IXZ59" s="28"/>
      <c r="IYA59" s="28"/>
      <c r="IYB59" s="28"/>
      <c r="IYC59" s="28"/>
      <c r="IYD59" s="28"/>
      <c r="IYE59" s="28"/>
      <c r="IYF59" s="28"/>
      <c r="IYG59" s="28"/>
      <c r="IYH59" s="28"/>
      <c r="IYI59" s="28"/>
      <c r="IYJ59" s="28"/>
      <c r="IYK59" s="28"/>
      <c r="IYL59" s="28"/>
      <c r="IYM59" s="28"/>
      <c r="IYN59" s="28"/>
      <c r="IYO59" s="28"/>
      <c r="IYP59" s="28"/>
      <c r="IYQ59" s="28"/>
      <c r="IYR59" s="28"/>
      <c r="IYS59" s="28"/>
      <c r="IYT59" s="28"/>
      <c r="IYU59" s="28"/>
      <c r="IYV59" s="28"/>
      <c r="IYW59" s="28"/>
      <c r="IYX59" s="28"/>
      <c r="IYY59" s="28"/>
      <c r="IYZ59" s="28"/>
      <c r="IZA59" s="28"/>
      <c r="IZB59" s="28"/>
      <c r="IZC59" s="28"/>
      <c r="IZD59" s="28"/>
      <c r="IZE59" s="28"/>
      <c r="IZF59" s="28"/>
      <c r="IZG59" s="28"/>
      <c r="IZH59" s="28"/>
      <c r="IZI59" s="28"/>
      <c r="IZJ59" s="28"/>
      <c r="IZK59" s="28"/>
      <c r="IZL59" s="28"/>
      <c r="IZM59" s="28"/>
      <c r="IZN59" s="28"/>
      <c r="IZO59" s="28"/>
      <c r="IZP59" s="28"/>
      <c r="IZQ59" s="28"/>
      <c r="IZR59" s="28"/>
      <c r="IZS59" s="28"/>
      <c r="IZT59" s="28"/>
      <c r="IZU59" s="28"/>
      <c r="IZV59" s="28"/>
      <c r="IZW59" s="28"/>
      <c r="IZX59" s="28"/>
      <c r="IZY59" s="28"/>
      <c r="IZZ59" s="28"/>
      <c r="JAA59" s="28"/>
      <c r="JAB59" s="28"/>
      <c r="JAC59" s="28"/>
      <c r="JAD59" s="28"/>
      <c r="JAE59" s="28"/>
      <c r="JAF59" s="28"/>
      <c r="JAG59" s="28"/>
      <c r="JAH59" s="28"/>
      <c r="JAI59" s="28"/>
      <c r="JAJ59" s="28"/>
      <c r="JAK59" s="28"/>
      <c r="JAL59" s="28"/>
      <c r="JAM59" s="28"/>
      <c r="JAN59" s="28"/>
      <c r="JAO59" s="28"/>
      <c r="JAP59" s="28"/>
      <c r="JAQ59" s="28"/>
      <c r="JAR59" s="28"/>
      <c r="JAS59" s="28"/>
      <c r="JAT59" s="28"/>
      <c r="JAU59" s="28"/>
      <c r="JAV59" s="28"/>
      <c r="JAW59" s="28"/>
      <c r="JAX59" s="28"/>
      <c r="JAY59" s="28"/>
      <c r="JAZ59" s="28"/>
      <c r="JBA59" s="28"/>
      <c r="JBB59" s="28"/>
      <c r="JBC59" s="28"/>
      <c r="JBD59" s="28"/>
      <c r="JBE59" s="28"/>
      <c r="JBF59" s="28"/>
      <c r="JBG59" s="28"/>
      <c r="JBH59" s="28"/>
      <c r="JBI59" s="28"/>
      <c r="JBJ59" s="28"/>
      <c r="JBK59" s="28"/>
      <c r="JBL59" s="28"/>
      <c r="JBM59" s="28"/>
      <c r="JBN59" s="28"/>
      <c r="JBO59" s="28"/>
      <c r="JBP59" s="28"/>
      <c r="JBQ59" s="28"/>
      <c r="JBR59" s="28"/>
      <c r="JBS59" s="28"/>
      <c r="JBT59" s="28"/>
      <c r="JBU59" s="28"/>
      <c r="JBV59" s="28"/>
      <c r="JBW59" s="28"/>
      <c r="JBX59" s="28"/>
      <c r="JBY59" s="28"/>
      <c r="JBZ59" s="28"/>
      <c r="JCA59" s="28"/>
      <c r="JCB59" s="28"/>
      <c r="JCC59" s="28"/>
      <c r="JCD59" s="28"/>
      <c r="JCE59" s="28"/>
      <c r="JCF59" s="28"/>
      <c r="JCG59" s="28"/>
      <c r="JCH59" s="28"/>
      <c r="JCI59" s="28"/>
      <c r="JCJ59" s="28"/>
      <c r="JCK59" s="28"/>
      <c r="JCL59" s="28"/>
      <c r="JCM59" s="28"/>
      <c r="JCN59" s="28"/>
      <c r="JCO59" s="28"/>
      <c r="JCP59" s="28"/>
      <c r="JCQ59" s="28"/>
      <c r="JCR59" s="28"/>
      <c r="JCS59" s="28"/>
      <c r="JCT59" s="28"/>
      <c r="JCU59" s="28"/>
      <c r="JCV59" s="28"/>
      <c r="JCW59" s="28"/>
      <c r="JCX59" s="28"/>
      <c r="JCY59" s="28"/>
      <c r="JCZ59" s="28"/>
      <c r="JDA59" s="28"/>
      <c r="JDB59" s="28"/>
      <c r="JDC59" s="28"/>
      <c r="JDD59" s="28"/>
      <c r="JDE59" s="28"/>
      <c r="JDF59" s="28"/>
      <c r="JDG59" s="28"/>
      <c r="JDH59" s="28"/>
      <c r="JDI59" s="28"/>
      <c r="JDJ59" s="28"/>
      <c r="JDK59" s="28"/>
      <c r="JDL59" s="28"/>
      <c r="JDM59" s="28"/>
      <c r="JDN59" s="28"/>
      <c r="JDO59" s="28"/>
      <c r="JDP59" s="28"/>
      <c r="JDQ59" s="28"/>
      <c r="JDR59" s="28"/>
      <c r="JDS59" s="28"/>
      <c r="JDT59" s="28"/>
      <c r="JDU59" s="28"/>
      <c r="JDV59" s="28"/>
      <c r="JDW59" s="28"/>
      <c r="JDX59" s="28"/>
      <c r="JDY59" s="28"/>
      <c r="JDZ59" s="28"/>
      <c r="JEA59" s="28"/>
      <c r="JEB59" s="28"/>
      <c r="JEC59" s="28"/>
      <c r="JED59" s="28"/>
      <c r="JEE59" s="28"/>
      <c r="JEF59" s="28"/>
      <c r="JEG59" s="28"/>
      <c r="JEH59" s="28"/>
      <c r="JEI59" s="28"/>
      <c r="JEJ59" s="28"/>
      <c r="JEK59" s="28"/>
      <c r="JEL59" s="28"/>
      <c r="JEM59" s="28"/>
      <c r="JEN59" s="28"/>
      <c r="JEO59" s="28"/>
      <c r="JEP59" s="28"/>
      <c r="JEQ59" s="28"/>
      <c r="JER59" s="28"/>
      <c r="JES59" s="28"/>
      <c r="JET59" s="28"/>
      <c r="JEU59" s="28"/>
      <c r="JEV59" s="28"/>
      <c r="JEW59" s="28"/>
      <c r="JEX59" s="28"/>
      <c r="JEY59" s="28"/>
      <c r="JEZ59" s="28"/>
      <c r="JFA59" s="28"/>
      <c r="JFB59" s="28"/>
      <c r="JFC59" s="28"/>
      <c r="JFD59" s="28"/>
      <c r="JFE59" s="28"/>
      <c r="JFF59" s="28"/>
      <c r="JFG59" s="28"/>
      <c r="JFH59" s="28"/>
      <c r="JFI59" s="28"/>
      <c r="JFJ59" s="28"/>
      <c r="JFK59" s="28"/>
      <c r="JFL59" s="28"/>
      <c r="JFM59" s="28"/>
      <c r="JFN59" s="28"/>
      <c r="JFO59" s="28"/>
      <c r="JFP59" s="28"/>
      <c r="JFQ59" s="28"/>
      <c r="JFR59" s="28"/>
      <c r="JFS59" s="28"/>
      <c r="JFT59" s="28"/>
      <c r="JFU59" s="28"/>
      <c r="JFV59" s="28"/>
      <c r="JFW59" s="28"/>
      <c r="JFX59" s="28"/>
      <c r="JFY59" s="28"/>
      <c r="JFZ59" s="28"/>
      <c r="JGA59" s="28"/>
      <c r="JGB59" s="28"/>
      <c r="JGC59" s="28"/>
      <c r="JGD59" s="28"/>
      <c r="JGE59" s="28"/>
      <c r="JGF59" s="28"/>
      <c r="JGG59" s="28"/>
      <c r="JGH59" s="28"/>
      <c r="JGI59" s="28"/>
      <c r="JGJ59" s="28"/>
      <c r="JGK59" s="28"/>
      <c r="JGL59" s="28"/>
      <c r="JGM59" s="28"/>
      <c r="JGN59" s="28"/>
      <c r="JGO59" s="28"/>
      <c r="JGP59" s="28"/>
      <c r="JGQ59" s="28"/>
      <c r="JGR59" s="28"/>
      <c r="JGS59" s="28"/>
      <c r="JGT59" s="28"/>
      <c r="JGU59" s="28"/>
      <c r="JGV59" s="28"/>
      <c r="JGW59" s="28"/>
      <c r="JGX59" s="28"/>
      <c r="JGY59" s="28"/>
      <c r="JGZ59" s="28"/>
      <c r="JHA59" s="28"/>
      <c r="JHB59" s="28"/>
      <c r="JHC59" s="28"/>
      <c r="JHD59" s="28"/>
      <c r="JHE59" s="28"/>
      <c r="JHF59" s="28"/>
      <c r="JHG59" s="28"/>
      <c r="JHH59" s="28"/>
      <c r="JHI59" s="28"/>
      <c r="JHJ59" s="28"/>
      <c r="JHK59" s="28"/>
      <c r="JHL59" s="28"/>
      <c r="JHM59" s="28"/>
      <c r="JHN59" s="28"/>
      <c r="JHO59" s="28"/>
      <c r="JHP59" s="28"/>
      <c r="JHQ59" s="28"/>
      <c r="JHR59" s="28"/>
      <c r="JHS59" s="28"/>
      <c r="JHT59" s="28"/>
      <c r="JHU59" s="28"/>
      <c r="JHV59" s="28"/>
      <c r="JHW59" s="28"/>
      <c r="JHX59" s="28"/>
      <c r="JHY59" s="28"/>
      <c r="JHZ59" s="28"/>
      <c r="JIA59" s="28"/>
      <c r="JIB59" s="28"/>
      <c r="JIC59" s="28"/>
      <c r="JID59" s="28"/>
      <c r="JIE59" s="28"/>
      <c r="JIF59" s="28"/>
      <c r="JIG59" s="28"/>
      <c r="JIH59" s="28"/>
      <c r="JII59" s="28"/>
      <c r="JIJ59" s="28"/>
      <c r="JIK59" s="28"/>
      <c r="JIL59" s="28"/>
      <c r="JIM59" s="28"/>
      <c r="JIN59" s="28"/>
      <c r="JIO59" s="28"/>
      <c r="JIP59" s="28"/>
      <c r="JIQ59" s="28"/>
      <c r="JIR59" s="28"/>
      <c r="JIS59" s="28"/>
      <c r="JIT59" s="28"/>
      <c r="JIU59" s="28"/>
      <c r="JIV59" s="28"/>
      <c r="JIW59" s="28"/>
      <c r="JIX59" s="28"/>
      <c r="JIY59" s="28"/>
      <c r="JIZ59" s="28"/>
      <c r="JJA59" s="28"/>
      <c r="JJB59" s="28"/>
      <c r="JJC59" s="28"/>
      <c r="JJD59" s="28"/>
      <c r="JJE59" s="28"/>
      <c r="JJF59" s="28"/>
      <c r="JJG59" s="28"/>
      <c r="JJH59" s="28"/>
      <c r="JJI59" s="28"/>
      <c r="JJJ59" s="28"/>
      <c r="JJK59" s="28"/>
      <c r="JJL59" s="28"/>
      <c r="JJM59" s="28"/>
      <c r="JJN59" s="28"/>
      <c r="JJO59" s="28"/>
      <c r="JJP59" s="28"/>
      <c r="JJQ59" s="28"/>
      <c r="JJR59" s="28"/>
      <c r="JJS59" s="28"/>
      <c r="JJT59" s="28"/>
      <c r="JJU59" s="28"/>
      <c r="JJV59" s="28"/>
      <c r="JJW59" s="28"/>
      <c r="JJX59" s="28"/>
      <c r="JJY59" s="28"/>
      <c r="JJZ59" s="28"/>
      <c r="JKA59" s="28"/>
      <c r="JKB59" s="28"/>
      <c r="JKC59" s="28"/>
      <c r="JKD59" s="28"/>
      <c r="JKE59" s="28"/>
      <c r="JKF59" s="28"/>
      <c r="JKG59" s="28"/>
      <c r="JKH59" s="28"/>
      <c r="JKI59" s="28"/>
      <c r="JKJ59" s="28"/>
      <c r="JKK59" s="28"/>
      <c r="JKL59" s="28"/>
      <c r="JKM59" s="28"/>
      <c r="JKN59" s="28"/>
      <c r="JKO59" s="28"/>
      <c r="JKP59" s="28"/>
      <c r="JKQ59" s="28"/>
      <c r="JKR59" s="28"/>
      <c r="JKS59" s="28"/>
      <c r="JKT59" s="28"/>
      <c r="JKU59" s="28"/>
      <c r="JKV59" s="28"/>
      <c r="JKW59" s="28"/>
      <c r="JKX59" s="28"/>
      <c r="JKY59" s="28"/>
      <c r="JKZ59" s="28"/>
      <c r="JLA59" s="28"/>
      <c r="JLB59" s="28"/>
      <c r="JLC59" s="28"/>
      <c r="JLD59" s="28"/>
      <c r="JLE59" s="28"/>
      <c r="JLF59" s="28"/>
      <c r="JLG59" s="28"/>
      <c r="JLH59" s="28"/>
      <c r="JLI59" s="28"/>
      <c r="JLJ59" s="28"/>
      <c r="JLK59" s="28"/>
      <c r="JLL59" s="28"/>
      <c r="JLM59" s="28"/>
      <c r="JLN59" s="28"/>
      <c r="JLO59" s="28"/>
      <c r="JLP59" s="28"/>
      <c r="JLQ59" s="28"/>
      <c r="JLR59" s="28"/>
      <c r="JLS59" s="28"/>
      <c r="JLT59" s="28"/>
      <c r="JLU59" s="28"/>
      <c r="JLV59" s="28"/>
      <c r="JLW59" s="28"/>
      <c r="JLX59" s="28"/>
      <c r="JLY59" s="28"/>
      <c r="JLZ59" s="28"/>
      <c r="JMA59" s="28"/>
      <c r="JMB59" s="28"/>
      <c r="JMC59" s="28"/>
      <c r="JMD59" s="28"/>
      <c r="JME59" s="28"/>
      <c r="JMF59" s="28"/>
      <c r="JMG59" s="28"/>
      <c r="JMH59" s="28"/>
      <c r="JMI59" s="28"/>
      <c r="JMJ59" s="28"/>
      <c r="JMK59" s="28"/>
      <c r="JML59" s="28"/>
      <c r="JMM59" s="28"/>
      <c r="JMN59" s="28"/>
      <c r="JMO59" s="28"/>
      <c r="JMP59" s="28"/>
      <c r="JMQ59" s="28"/>
      <c r="JMR59" s="28"/>
      <c r="JMS59" s="28"/>
      <c r="JMT59" s="28"/>
      <c r="JMU59" s="28"/>
      <c r="JMV59" s="28"/>
      <c r="JMW59" s="28"/>
      <c r="JMX59" s="28"/>
      <c r="JMY59" s="28"/>
      <c r="JMZ59" s="28"/>
      <c r="JNA59" s="28"/>
      <c r="JNB59" s="28"/>
      <c r="JNC59" s="28"/>
      <c r="JND59" s="28"/>
      <c r="JNE59" s="28"/>
      <c r="JNF59" s="28"/>
      <c r="JNG59" s="28"/>
      <c r="JNH59" s="28"/>
      <c r="JNI59" s="28"/>
      <c r="JNJ59" s="28"/>
      <c r="JNK59" s="28"/>
      <c r="JNL59" s="28"/>
      <c r="JNM59" s="28"/>
      <c r="JNN59" s="28"/>
      <c r="JNO59" s="28"/>
      <c r="JNP59" s="28"/>
      <c r="JNQ59" s="28"/>
      <c r="JNR59" s="28"/>
      <c r="JNS59" s="28"/>
      <c r="JNT59" s="28"/>
      <c r="JNU59" s="28"/>
      <c r="JNV59" s="28"/>
      <c r="JNW59" s="28"/>
      <c r="JNX59" s="28"/>
      <c r="JNY59" s="28"/>
      <c r="JNZ59" s="28"/>
      <c r="JOA59" s="28"/>
      <c r="JOB59" s="28"/>
      <c r="JOC59" s="28"/>
      <c r="JOD59" s="28"/>
      <c r="JOE59" s="28"/>
      <c r="JOF59" s="28"/>
      <c r="JOG59" s="28"/>
      <c r="JOH59" s="28"/>
      <c r="JOI59" s="28"/>
      <c r="JOJ59" s="28"/>
      <c r="JOK59" s="28"/>
      <c r="JOL59" s="28"/>
      <c r="JOM59" s="28"/>
      <c r="JON59" s="28"/>
      <c r="JOO59" s="28"/>
      <c r="JOP59" s="28"/>
      <c r="JOQ59" s="28"/>
      <c r="JOR59" s="28"/>
      <c r="JOS59" s="28"/>
      <c r="JOT59" s="28"/>
      <c r="JOU59" s="28"/>
      <c r="JOV59" s="28"/>
      <c r="JOW59" s="28"/>
      <c r="JOX59" s="28"/>
      <c r="JOY59" s="28"/>
      <c r="JOZ59" s="28"/>
      <c r="JPA59" s="28"/>
      <c r="JPB59" s="28"/>
      <c r="JPC59" s="28"/>
      <c r="JPD59" s="28"/>
      <c r="JPE59" s="28"/>
      <c r="JPF59" s="28"/>
      <c r="JPG59" s="28"/>
      <c r="JPH59" s="28"/>
      <c r="JPI59" s="28"/>
      <c r="JPJ59" s="28"/>
      <c r="JPK59" s="28"/>
      <c r="JPL59" s="28"/>
      <c r="JPM59" s="28"/>
      <c r="JPN59" s="28"/>
      <c r="JPO59" s="28"/>
      <c r="JPP59" s="28"/>
      <c r="JPQ59" s="28"/>
      <c r="JPR59" s="28"/>
      <c r="JPS59" s="28"/>
      <c r="JPT59" s="28"/>
      <c r="JPU59" s="28"/>
      <c r="JPV59" s="28"/>
      <c r="JPW59" s="28"/>
      <c r="JPX59" s="28"/>
      <c r="JPY59" s="28"/>
      <c r="JPZ59" s="28"/>
      <c r="JQA59" s="28"/>
      <c r="JQB59" s="28"/>
      <c r="JQC59" s="28"/>
      <c r="JQD59" s="28"/>
      <c r="JQE59" s="28"/>
      <c r="JQF59" s="28"/>
      <c r="JQG59" s="28"/>
      <c r="JQH59" s="28"/>
      <c r="JQI59" s="28"/>
      <c r="JQJ59" s="28"/>
      <c r="JQK59" s="28"/>
      <c r="JQL59" s="28"/>
      <c r="JQM59" s="28"/>
      <c r="JQN59" s="28"/>
      <c r="JQO59" s="28"/>
      <c r="JQP59" s="28"/>
      <c r="JQQ59" s="28"/>
      <c r="JQR59" s="28"/>
      <c r="JQS59" s="28"/>
      <c r="JQT59" s="28"/>
      <c r="JQU59" s="28"/>
      <c r="JQV59" s="28"/>
      <c r="JQW59" s="28"/>
      <c r="JQX59" s="28"/>
      <c r="JQY59" s="28"/>
      <c r="JQZ59" s="28"/>
      <c r="JRA59" s="28"/>
      <c r="JRB59" s="28"/>
      <c r="JRC59" s="28"/>
      <c r="JRD59" s="28"/>
      <c r="JRE59" s="28"/>
      <c r="JRF59" s="28"/>
      <c r="JRG59" s="28"/>
      <c r="JRH59" s="28"/>
      <c r="JRI59" s="28"/>
      <c r="JRJ59" s="28"/>
      <c r="JRK59" s="28"/>
      <c r="JRL59" s="28"/>
      <c r="JRM59" s="28"/>
      <c r="JRN59" s="28"/>
      <c r="JRO59" s="28"/>
      <c r="JRP59" s="28"/>
      <c r="JRQ59" s="28"/>
      <c r="JRR59" s="28"/>
      <c r="JRS59" s="28"/>
      <c r="JRT59" s="28"/>
      <c r="JRU59" s="28"/>
      <c r="JRV59" s="28"/>
      <c r="JRW59" s="28"/>
      <c r="JRX59" s="28"/>
      <c r="JRY59" s="28"/>
      <c r="JRZ59" s="28"/>
      <c r="JSA59" s="28"/>
      <c r="JSB59" s="28"/>
      <c r="JSC59" s="28"/>
      <c r="JSD59" s="28"/>
      <c r="JSE59" s="28"/>
      <c r="JSF59" s="28"/>
      <c r="JSG59" s="28"/>
      <c r="JSH59" s="28"/>
      <c r="JSI59" s="28"/>
      <c r="JSJ59" s="28"/>
      <c r="JSK59" s="28"/>
      <c r="JSL59" s="28"/>
      <c r="JSM59" s="28"/>
      <c r="JSN59" s="28"/>
      <c r="JSO59" s="28"/>
      <c r="JSP59" s="28"/>
      <c r="JSQ59" s="28"/>
      <c r="JSR59" s="28"/>
      <c r="JSS59" s="28"/>
      <c r="JST59" s="28"/>
      <c r="JSU59" s="28"/>
      <c r="JSV59" s="28"/>
      <c r="JSW59" s="28"/>
      <c r="JSX59" s="28"/>
      <c r="JSY59" s="28"/>
      <c r="JSZ59" s="28"/>
      <c r="JTA59" s="28"/>
      <c r="JTB59" s="28"/>
      <c r="JTC59" s="28"/>
      <c r="JTD59" s="28"/>
      <c r="JTE59" s="28"/>
      <c r="JTF59" s="28"/>
      <c r="JTG59" s="28"/>
      <c r="JTH59" s="28"/>
      <c r="JTI59" s="28"/>
      <c r="JTJ59" s="28"/>
      <c r="JTK59" s="28"/>
      <c r="JTL59" s="28"/>
      <c r="JTM59" s="28"/>
      <c r="JTN59" s="28"/>
      <c r="JTO59" s="28"/>
      <c r="JTP59" s="28"/>
      <c r="JTQ59" s="28"/>
      <c r="JTR59" s="28"/>
      <c r="JTS59" s="28"/>
      <c r="JTT59" s="28"/>
      <c r="JTU59" s="28"/>
      <c r="JTV59" s="28"/>
      <c r="JTW59" s="28"/>
      <c r="JTX59" s="28"/>
      <c r="JTY59" s="28"/>
      <c r="JTZ59" s="28"/>
      <c r="JUA59" s="28"/>
      <c r="JUB59" s="28"/>
      <c r="JUC59" s="28"/>
      <c r="JUD59" s="28"/>
      <c r="JUE59" s="28"/>
      <c r="JUF59" s="28"/>
      <c r="JUG59" s="28"/>
      <c r="JUH59" s="28"/>
      <c r="JUI59" s="28"/>
      <c r="JUJ59" s="28"/>
      <c r="JUK59" s="28"/>
      <c r="JUL59" s="28"/>
      <c r="JUM59" s="28"/>
      <c r="JUN59" s="28"/>
      <c r="JUO59" s="28"/>
      <c r="JUP59" s="28"/>
      <c r="JUQ59" s="28"/>
      <c r="JUR59" s="28"/>
      <c r="JUS59" s="28"/>
      <c r="JUT59" s="28"/>
      <c r="JUU59" s="28"/>
      <c r="JUV59" s="28"/>
      <c r="JUW59" s="28"/>
      <c r="JUX59" s="28"/>
      <c r="JUY59" s="28"/>
      <c r="JUZ59" s="28"/>
      <c r="JVA59" s="28"/>
      <c r="JVB59" s="28"/>
      <c r="JVC59" s="28"/>
      <c r="JVD59" s="28"/>
      <c r="JVE59" s="28"/>
      <c r="JVF59" s="28"/>
      <c r="JVG59" s="28"/>
      <c r="JVH59" s="28"/>
      <c r="JVI59" s="28"/>
      <c r="JVJ59" s="28"/>
      <c r="JVK59" s="28"/>
      <c r="JVL59" s="28"/>
      <c r="JVM59" s="28"/>
      <c r="JVN59" s="28"/>
      <c r="JVO59" s="28"/>
      <c r="JVP59" s="28"/>
      <c r="JVQ59" s="28"/>
      <c r="JVR59" s="28"/>
      <c r="JVS59" s="28"/>
      <c r="JVT59" s="28"/>
      <c r="JVU59" s="28"/>
      <c r="JVV59" s="28"/>
      <c r="JVW59" s="28"/>
      <c r="JVX59" s="28"/>
      <c r="JVY59" s="28"/>
      <c r="JVZ59" s="28"/>
      <c r="JWA59" s="28"/>
      <c r="JWB59" s="28"/>
      <c r="JWC59" s="28"/>
      <c r="JWD59" s="28"/>
      <c r="JWE59" s="28"/>
      <c r="JWF59" s="28"/>
      <c r="JWG59" s="28"/>
      <c r="JWH59" s="28"/>
      <c r="JWI59" s="28"/>
      <c r="JWJ59" s="28"/>
      <c r="JWK59" s="28"/>
      <c r="JWL59" s="28"/>
      <c r="JWM59" s="28"/>
      <c r="JWN59" s="28"/>
      <c r="JWO59" s="28"/>
      <c r="JWP59" s="28"/>
      <c r="JWQ59" s="28"/>
      <c r="JWR59" s="28"/>
      <c r="JWS59" s="28"/>
      <c r="JWT59" s="28"/>
      <c r="JWU59" s="28"/>
      <c r="JWV59" s="28"/>
      <c r="JWW59" s="28"/>
      <c r="JWX59" s="28"/>
      <c r="JWY59" s="28"/>
      <c r="JWZ59" s="28"/>
      <c r="JXA59" s="28"/>
      <c r="JXB59" s="28"/>
      <c r="JXC59" s="28"/>
      <c r="JXD59" s="28"/>
      <c r="JXE59" s="28"/>
      <c r="JXF59" s="28"/>
      <c r="JXG59" s="28"/>
      <c r="JXH59" s="28"/>
      <c r="JXI59" s="28"/>
      <c r="JXJ59" s="28"/>
      <c r="JXK59" s="28"/>
      <c r="JXL59" s="28"/>
      <c r="JXM59" s="28"/>
      <c r="JXN59" s="28"/>
      <c r="JXO59" s="28"/>
      <c r="JXP59" s="28"/>
      <c r="JXQ59" s="28"/>
      <c r="JXR59" s="28"/>
      <c r="JXS59" s="28"/>
      <c r="JXT59" s="28"/>
      <c r="JXU59" s="28"/>
      <c r="JXV59" s="28"/>
      <c r="JXW59" s="28"/>
      <c r="JXX59" s="28"/>
      <c r="JXY59" s="28"/>
      <c r="JXZ59" s="28"/>
      <c r="JYA59" s="28"/>
      <c r="JYB59" s="28"/>
      <c r="JYC59" s="28"/>
      <c r="JYD59" s="28"/>
      <c r="JYE59" s="28"/>
      <c r="JYF59" s="28"/>
      <c r="JYG59" s="28"/>
      <c r="JYH59" s="28"/>
      <c r="JYI59" s="28"/>
      <c r="JYJ59" s="28"/>
      <c r="JYK59" s="28"/>
      <c r="JYL59" s="28"/>
      <c r="JYM59" s="28"/>
      <c r="JYN59" s="28"/>
      <c r="JYO59" s="28"/>
      <c r="JYP59" s="28"/>
      <c r="JYQ59" s="28"/>
      <c r="JYR59" s="28"/>
      <c r="JYS59" s="28"/>
      <c r="JYT59" s="28"/>
      <c r="JYU59" s="28"/>
      <c r="JYV59" s="28"/>
      <c r="JYW59" s="28"/>
      <c r="JYX59" s="28"/>
      <c r="JYY59" s="28"/>
      <c r="JYZ59" s="28"/>
      <c r="JZA59" s="28"/>
      <c r="JZB59" s="28"/>
      <c r="JZC59" s="28"/>
      <c r="JZD59" s="28"/>
      <c r="JZE59" s="28"/>
      <c r="JZF59" s="28"/>
      <c r="JZG59" s="28"/>
      <c r="JZH59" s="28"/>
      <c r="JZI59" s="28"/>
      <c r="JZJ59" s="28"/>
      <c r="JZK59" s="28"/>
      <c r="JZL59" s="28"/>
      <c r="JZM59" s="28"/>
      <c r="JZN59" s="28"/>
      <c r="JZO59" s="28"/>
      <c r="JZP59" s="28"/>
      <c r="JZQ59" s="28"/>
      <c r="JZR59" s="28"/>
      <c r="JZS59" s="28"/>
      <c r="JZT59" s="28"/>
      <c r="JZU59" s="28"/>
      <c r="JZV59" s="28"/>
      <c r="JZW59" s="28"/>
      <c r="JZX59" s="28"/>
      <c r="JZY59" s="28"/>
      <c r="JZZ59" s="28"/>
      <c r="KAA59" s="28"/>
      <c r="KAB59" s="28"/>
      <c r="KAC59" s="28"/>
      <c r="KAD59" s="28"/>
      <c r="KAE59" s="28"/>
      <c r="KAF59" s="28"/>
      <c r="KAG59" s="28"/>
      <c r="KAH59" s="28"/>
      <c r="KAI59" s="28"/>
      <c r="KAJ59" s="28"/>
      <c r="KAK59" s="28"/>
      <c r="KAL59" s="28"/>
      <c r="KAM59" s="28"/>
      <c r="KAN59" s="28"/>
      <c r="KAO59" s="28"/>
      <c r="KAP59" s="28"/>
      <c r="KAQ59" s="28"/>
      <c r="KAR59" s="28"/>
      <c r="KAS59" s="28"/>
      <c r="KAT59" s="28"/>
      <c r="KAU59" s="28"/>
      <c r="KAV59" s="28"/>
      <c r="KAW59" s="28"/>
      <c r="KAX59" s="28"/>
      <c r="KAY59" s="28"/>
      <c r="KAZ59" s="28"/>
      <c r="KBA59" s="28"/>
      <c r="KBB59" s="28"/>
      <c r="KBC59" s="28"/>
      <c r="KBD59" s="28"/>
      <c r="KBE59" s="28"/>
      <c r="KBF59" s="28"/>
      <c r="KBG59" s="28"/>
      <c r="KBH59" s="28"/>
      <c r="KBI59" s="28"/>
      <c r="KBJ59" s="28"/>
      <c r="KBK59" s="28"/>
      <c r="KBL59" s="28"/>
      <c r="KBM59" s="28"/>
      <c r="KBN59" s="28"/>
      <c r="KBO59" s="28"/>
      <c r="KBP59" s="28"/>
      <c r="KBQ59" s="28"/>
      <c r="KBR59" s="28"/>
      <c r="KBS59" s="28"/>
      <c r="KBT59" s="28"/>
      <c r="KBU59" s="28"/>
      <c r="KBV59" s="28"/>
      <c r="KBW59" s="28"/>
      <c r="KBX59" s="28"/>
      <c r="KBY59" s="28"/>
      <c r="KBZ59" s="28"/>
      <c r="KCA59" s="28"/>
      <c r="KCB59" s="28"/>
      <c r="KCC59" s="28"/>
      <c r="KCD59" s="28"/>
      <c r="KCE59" s="28"/>
      <c r="KCF59" s="28"/>
      <c r="KCG59" s="28"/>
      <c r="KCH59" s="28"/>
      <c r="KCI59" s="28"/>
      <c r="KCJ59" s="28"/>
      <c r="KCK59" s="28"/>
      <c r="KCL59" s="28"/>
      <c r="KCM59" s="28"/>
      <c r="KCN59" s="28"/>
      <c r="KCO59" s="28"/>
      <c r="KCP59" s="28"/>
      <c r="KCQ59" s="28"/>
      <c r="KCR59" s="28"/>
      <c r="KCS59" s="28"/>
      <c r="KCT59" s="28"/>
      <c r="KCU59" s="28"/>
      <c r="KCV59" s="28"/>
      <c r="KCW59" s="28"/>
      <c r="KCX59" s="28"/>
      <c r="KCY59" s="28"/>
      <c r="KCZ59" s="28"/>
      <c r="KDA59" s="28"/>
      <c r="KDB59" s="28"/>
      <c r="KDC59" s="28"/>
      <c r="KDD59" s="28"/>
      <c r="KDE59" s="28"/>
      <c r="KDF59" s="28"/>
      <c r="KDG59" s="28"/>
      <c r="KDH59" s="28"/>
      <c r="KDI59" s="28"/>
      <c r="KDJ59" s="28"/>
      <c r="KDK59" s="28"/>
      <c r="KDL59" s="28"/>
      <c r="KDM59" s="28"/>
      <c r="KDN59" s="28"/>
      <c r="KDO59" s="28"/>
      <c r="KDP59" s="28"/>
      <c r="KDQ59" s="28"/>
      <c r="KDR59" s="28"/>
      <c r="KDS59" s="28"/>
      <c r="KDT59" s="28"/>
      <c r="KDU59" s="28"/>
      <c r="KDV59" s="28"/>
      <c r="KDW59" s="28"/>
      <c r="KDX59" s="28"/>
      <c r="KDY59" s="28"/>
      <c r="KDZ59" s="28"/>
      <c r="KEA59" s="28"/>
      <c r="KEB59" s="28"/>
      <c r="KEC59" s="28"/>
      <c r="KED59" s="28"/>
      <c r="KEE59" s="28"/>
      <c r="KEF59" s="28"/>
      <c r="KEG59" s="28"/>
      <c r="KEH59" s="28"/>
      <c r="KEI59" s="28"/>
      <c r="KEJ59" s="28"/>
      <c r="KEK59" s="28"/>
      <c r="KEL59" s="28"/>
      <c r="KEM59" s="28"/>
      <c r="KEN59" s="28"/>
      <c r="KEO59" s="28"/>
      <c r="KEP59" s="28"/>
      <c r="KEQ59" s="28"/>
      <c r="KER59" s="28"/>
      <c r="KES59" s="28"/>
      <c r="KET59" s="28"/>
      <c r="KEU59" s="28"/>
      <c r="KEV59" s="28"/>
      <c r="KEW59" s="28"/>
      <c r="KEX59" s="28"/>
      <c r="KEY59" s="28"/>
      <c r="KEZ59" s="28"/>
      <c r="KFA59" s="28"/>
      <c r="KFB59" s="28"/>
      <c r="KFC59" s="28"/>
      <c r="KFD59" s="28"/>
      <c r="KFE59" s="28"/>
      <c r="KFF59" s="28"/>
      <c r="KFG59" s="28"/>
      <c r="KFH59" s="28"/>
      <c r="KFI59" s="28"/>
      <c r="KFJ59" s="28"/>
      <c r="KFK59" s="28"/>
      <c r="KFL59" s="28"/>
      <c r="KFM59" s="28"/>
      <c r="KFN59" s="28"/>
      <c r="KFO59" s="28"/>
      <c r="KFP59" s="28"/>
      <c r="KFQ59" s="28"/>
      <c r="KFR59" s="28"/>
      <c r="KFS59" s="28"/>
      <c r="KFT59" s="28"/>
      <c r="KFU59" s="28"/>
      <c r="KFV59" s="28"/>
      <c r="KFW59" s="28"/>
      <c r="KFX59" s="28"/>
      <c r="KFY59" s="28"/>
      <c r="KFZ59" s="28"/>
      <c r="KGA59" s="28"/>
      <c r="KGB59" s="28"/>
      <c r="KGC59" s="28"/>
      <c r="KGD59" s="28"/>
      <c r="KGE59" s="28"/>
      <c r="KGF59" s="28"/>
      <c r="KGG59" s="28"/>
      <c r="KGH59" s="28"/>
      <c r="KGI59" s="28"/>
      <c r="KGJ59" s="28"/>
      <c r="KGK59" s="28"/>
      <c r="KGL59" s="28"/>
      <c r="KGM59" s="28"/>
      <c r="KGN59" s="28"/>
      <c r="KGO59" s="28"/>
      <c r="KGP59" s="28"/>
      <c r="KGQ59" s="28"/>
      <c r="KGR59" s="28"/>
      <c r="KGS59" s="28"/>
      <c r="KGT59" s="28"/>
      <c r="KGU59" s="28"/>
      <c r="KGV59" s="28"/>
      <c r="KGW59" s="28"/>
      <c r="KGX59" s="28"/>
      <c r="KGY59" s="28"/>
      <c r="KGZ59" s="28"/>
      <c r="KHA59" s="28"/>
      <c r="KHB59" s="28"/>
      <c r="KHC59" s="28"/>
      <c r="KHD59" s="28"/>
      <c r="KHE59" s="28"/>
      <c r="KHF59" s="28"/>
      <c r="KHG59" s="28"/>
      <c r="KHH59" s="28"/>
      <c r="KHI59" s="28"/>
      <c r="KHJ59" s="28"/>
      <c r="KHK59" s="28"/>
      <c r="KHL59" s="28"/>
      <c r="KHM59" s="28"/>
      <c r="KHN59" s="28"/>
      <c r="KHO59" s="28"/>
      <c r="KHP59" s="28"/>
      <c r="KHQ59" s="28"/>
      <c r="KHR59" s="28"/>
      <c r="KHS59" s="28"/>
      <c r="KHT59" s="28"/>
      <c r="KHU59" s="28"/>
      <c r="KHV59" s="28"/>
      <c r="KHW59" s="28"/>
      <c r="KHX59" s="28"/>
      <c r="KHY59" s="28"/>
      <c r="KHZ59" s="28"/>
      <c r="KIA59" s="28"/>
      <c r="KIB59" s="28"/>
      <c r="KIC59" s="28"/>
      <c r="KID59" s="28"/>
      <c r="KIE59" s="28"/>
      <c r="KIF59" s="28"/>
      <c r="KIG59" s="28"/>
      <c r="KIH59" s="28"/>
      <c r="KII59" s="28"/>
      <c r="KIJ59" s="28"/>
      <c r="KIK59" s="28"/>
      <c r="KIL59" s="28"/>
      <c r="KIM59" s="28"/>
      <c r="KIN59" s="28"/>
      <c r="KIO59" s="28"/>
      <c r="KIP59" s="28"/>
      <c r="KIQ59" s="28"/>
      <c r="KIR59" s="28"/>
      <c r="KIS59" s="28"/>
      <c r="KIT59" s="28"/>
      <c r="KIU59" s="28"/>
      <c r="KIV59" s="28"/>
      <c r="KIW59" s="28"/>
      <c r="KIX59" s="28"/>
      <c r="KIY59" s="28"/>
      <c r="KIZ59" s="28"/>
      <c r="KJA59" s="28"/>
      <c r="KJB59" s="28"/>
      <c r="KJC59" s="28"/>
      <c r="KJD59" s="28"/>
      <c r="KJE59" s="28"/>
      <c r="KJF59" s="28"/>
      <c r="KJG59" s="28"/>
      <c r="KJH59" s="28"/>
      <c r="KJI59" s="28"/>
      <c r="KJJ59" s="28"/>
      <c r="KJK59" s="28"/>
      <c r="KJL59" s="28"/>
      <c r="KJM59" s="28"/>
      <c r="KJN59" s="28"/>
      <c r="KJO59" s="28"/>
      <c r="KJP59" s="28"/>
      <c r="KJQ59" s="28"/>
      <c r="KJR59" s="28"/>
      <c r="KJS59" s="28"/>
      <c r="KJT59" s="28"/>
      <c r="KJU59" s="28"/>
      <c r="KJV59" s="28"/>
      <c r="KJW59" s="28"/>
      <c r="KJX59" s="28"/>
      <c r="KJY59" s="28"/>
      <c r="KJZ59" s="28"/>
      <c r="KKA59" s="28"/>
      <c r="KKB59" s="28"/>
      <c r="KKC59" s="28"/>
      <c r="KKD59" s="28"/>
      <c r="KKE59" s="28"/>
      <c r="KKF59" s="28"/>
      <c r="KKG59" s="28"/>
      <c r="KKH59" s="28"/>
      <c r="KKI59" s="28"/>
      <c r="KKJ59" s="28"/>
      <c r="KKK59" s="28"/>
      <c r="KKL59" s="28"/>
      <c r="KKM59" s="28"/>
      <c r="KKN59" s="28"/>
      <c r="KKO59" s="28"/>
      <c r="KKP59" s="28"/>
      <c r="KKQ59" s="28"/>
      <c r="KKR59" s="28"/>
      <c r="KKS59" s="28"/>
      <c r="KKT59" s="28"/>
      <c r="KKU59" s="28"/>
      <c r="KKV59" s="28"/>
      <c r="KKW59" s="28"/>
      <c r="KKX59" s="28"/>
      <c r="KKY59" s="28"/>
      <c r="KKZ59" s="28"/>
      <c r="KLA59" s="28"/>
      <c r="KLB59" s="28"/>
      <c r="KLC59" s="28"/>
      <c r="KLD59" s="28"/>
      <c r="KLE59" s="28"/>
      <c r="KLF59" s="28"/>
      <c r="KLG59" s="28"/>
      <c r="KLH59" s="28"/>
      <c r="KLI59" s="28"/>
      <c r="KLJ59" s="28"/>
      <c r="KLK59" s="28"/>
      <c r="KLL59" s="28"/>
      <c r="KLM59" s="28"/>
      <c r="KLN59" s="28"/>
      <c r="KLO59" s="28"/>
      <c r="KLP59" s="28"/>
      <c r="KLQ59" s="28"/>
      <c r="KLR59" s="28"/>
      <c r="KLS59" s="28"/>
      <c r="KLT59" s="28"/>
      <c r="KLU59" s="28"/>
      <c r="KLV59" s="28"/>
      <c r="KLW59" s="28"/>
      <c r="KLX59" s="28"/>
      <c r="KLY59" s="28"/>
      <c r="KLZ59" s="28"/>
      <c r="KMA59" s="28"/>
      <c r="KMB59" s="28"/>
      <c r="KMC59" s="28"/>
      <c r="KMD59" s="28"/>
      <c r="KME59" s="28"/>
      <c r="KMF59" s="28"/>
      <c r="KMG59" s="28"/>
      <c r="KMH59" s="28"/>
      <c r="KMI59" s="28"/>
      <c r="KMJ59" s="28"/>
      <c r="KMK59" s="28"/>
      <c r="KML59" s="28"/>
      <c r="KMM59" s="28"/>
      <c r="KMN59" s="28"/>
      <c r="KMO59" s="28"/>
      <c r="KMP59" s="28"/>
      <c r="KMQ59" s="28"/>
      <c r="KMR59" s="28"/>
      <c r="KMS59" s="28"/>
      <c r="KMT59" s="28"/>
      <c r="KMU59" s="28"/>
      <c r="KMV59" s="28"/>
      <c r="KMW59" s="28"/>
      <c r="KMX59" s="28"/>
      <c r="KMY59" s="28"/>
      <c r="KMZ59" s="28"/>
      <c r="KNA59" s="28"/>
      <c r="KNB59" s="28"/>
      <c r="KNC59" s="28"/>
      <c r="KND59" s="28"/>
      <c r="KNE59" s="28"/>
      <c r="KNF59" s="28"/>
      <c r="KNG59" s="28"/>
      <c r="KNH59" s="28"/>
      <c r="KNI59" s="28"/>
      <c r="KNJ59" s="28"/>
      <c r="KNK59" s="28"/>
      <c r="KNL59" s="28"/>
      <c r="KNM59" s="28"/>
      <c r="KNN59" s="28"/>
      <c r="KNO59" s="28"/>
      <c r="KNP59" s="28"/>
      <c r="KNQ59" s="28"/>
      <c r="KNR59" s="28"/>
      <c r="KNS59" s="28"/>
      <c r="KNT59" s="28"/>
      <c r="KNU59" s="28"/>
      <c r="KNV59" s="28"/>
      <c r="KNW59" s="28"/>
      <c r="KNX59" s="28"/>
      <c r="KNY59" s="28"/>
      <c r="KNZ59" s="28"/>
      <c r="KOA59" s="28"/>
      <c r="KOB59" s="28"/>
      <c r="KOC59" s="28"/>
      <c r="KOD59" s="28"/>
      <c r="KOE59" s="28"/>
      <c r="KOF59" s="28"/>
      <c r="KOG59" s="28"/>
      <c r="KOH59" s="28"/>
      <c r="KOI59" s="28"/>
      <c r="KOJ59" s="28"/>
      <c r="KOK59" s="28"/>
      <c r="KOL59" s="28"/>
      <c r="KOM59" s="28"/>
      <c r="KON59" s="28"/>
      <c r="KOO59" s="28"/>
      <c r="KOP59" s="28"/>
      <c r="KOQ59" s="28"/>
      <c r="KOR59" s="28"/>
      <c r="KOS59" s="28"/>
      <c r="KOT59" s="28"/>
      <c r="KOU59" s="28"/>
      <c r="KOV59" s="28"/>
      <c r="KOW59" s="28"/>
      <c r="KOX59" s="28"/>
      <c r="KOY59" s="28"/>
      <c r="KOZ59" s="28"/>
      <c r="KPA59" s="28"/>
      <c r="KPB59" s="28"/>
      <c r="KPC59" s="28"/>
      <c r="KPD59" s="28"/>
      <c r="KPE59" s="28"/>
      <c r="KPF59" s="28"/>
      <c r="KPG59" s="28"/>
      <c r="KPH59" s="28"/>
      <c r="KPI59" s="28"/>
      <c r="KPJ59" s="28"/>
      <c r="KPK59" s="28"/>
      <c r="KPL59" s="28"/>
      <c r="KPM59" s="28"/>
      <c r="KPN59" s="28"/>
      <c r="KPO59" s="28"/>
      <c r="KPP59" s="28"/>
      <c r="KPQ59" s="28"/>
      <c r="KPR59" s="28"/>
      <c r="KPS59" s="28"/>
      <c r="KPT59" s="28"/>
      <c r="KPU59" s="28"/>
      <c r="KPV59" s="28"/>
      <c r="KPW59" s="28"/>
      <c r="KPX59" s="28"/>
      <c r="KPY59" s="28"/>
      <c r="KPZ59" s="28"/>
      <c r="KQA59" s="28"/>
      <c r="KQB59" s="28"/>
      <c r="KQC59" s="28"/>
      <c r="KQD59" s="28"/>
      <c r="KQE59" s="28"/>
      <c r="KQF59" s="28"/>
      <c r="KQG59" s="28"/>
      <c r="KQH59" s="28"/>
      <c r="KQI59" s="28"/>
      <c r="KQJ59" s="28"/>
      <c r="KQK59" s="28"/>
      <c r="KQL59" s="28"/>
      <c r="KQM59" s="28"/>
      <c r="KQN59" s="28"/>
      <c r="KQO59" s="28"/>
      <c r="KQP59" s="28"/>
      <c r="KQQ59" s="28"/>
      <c r="KQR59" s="28"/>
      <c r="KQS59" s="28"/>
      <c r="KQT59" s="28"/>
      <c r="KQU59" s="28"/>
      <c r="KQV59" s="28"/>
      <c r="KQW59" s="28"/>
      <c r="KQX59" s="28"/>
      <c r="KQY59" s="28"/>
      <c r="KQZ59" s="28"/>
      <c r="KRA59" s="28"/>
      <c r="KRB59" s="28"/>
      <c r="KRC59" s="28"/>
      <c r="KRD59" s="28"/>
      <c r="KRE59" s="28"/>
      <c r="KRF59" s="28"/>
      <c r="KRG59" s="28"/>
      <c r="KRH59" s="28"/>
      <c r="KRI59" s="28"/>
      <c r="KRJ59" s="28"/>
      <c r="KRK59" s="28"/>
      <c r="KRL59" s="28"/>
      <c r="KRM59" s="28"/>
      <c r="KRN59" s="28"/>
      <c r="KRO59" s="28"/>
      <c r="KRP59" s="28"/>
      <c r="KRQ59" s="28"/>
      <c r="KRR59" s="28"/>
      <c r="KRS59" s="28"/>
      <c r="KRT59" s="28"/>
      <c r="KRU59" s="28"/>
      <c r="KRV59" s="28"/>
      <c r="KRW59" s="28"/>
      <c r="KRX59" s="28"/>
      <c r="KRY59" s="28"/>
      <c r="KRZ59" s="28"/>
      <c r="KSA59" s="28"/>
      <c r="KSB59" s="28"/>
      <c r="KSC59" s="28"/>
      <c r="KSD59" s="28"/>
      <c r="KSE59" s="28"/>
      <c r="KSF59" s="28"/>
      <c r="KSG59" s="28"/>
      <c r="KSH59" s="28"/>
      <c r="KSI59" s="28"/>
      <c r="KSJ59" s="28"/>
      <c r="KSK59" s="28"/>
      <c r="KSL59" s="28"/>
      <c r="KSM59" s="28"/>
      <c r="KSN59" s="28"/>
      <c r="KSO59" s="28"/>
      <c r="KSP59" s="28"/>
      <c r="KSQ59" s="28"/>
      <c r="KSR59" s="28"/>
      <c r="KSS59" s="28"/>
      <c r="KST59" s="28"/>
      <c r="KSU59" s="28"/>
      <c r="KSV59" s="28"/>
      <c r="KSW59" s="28"/>
      <c r="KSX59" s="28"/>
      <c r="KSY59" s="28"/>
      <c r="KSZ59" s="28"/>
      <c r="KTA59" s="28"/>
      <c r="KTB59" s="28"/>
      <c r="KTC59" s="28"/>
      <c r="KTD59" s="28"/>
      <c r="KTE59" s="28"/>
      <c r="KTF59" s="28"/>
      <c r="KTG59" s="28"/>
      <c r="KTH59" s="28"/>
      <c r="KTI59" s="28"/>
      <c r="KTJ59" s="28"/>
      <c r="KTK59" s="28"/>
      <c r="KTL59" s="28"/>
      <c r="KTM59" s="28"/>
      <c r="KTN59" s="28"/>
      <c r="KTO59" s="28"/>
      <c r="KTP59" s="28"/>
      <c r="KTQ59" s="28"/>
      <c r="KTR59" s="28"/>
      <c r="KTS59" s="28"/>
      <c r="KTT59" s="28"/>
      <c r="KTU59" s="28"/>
      <c r="KTV59" s="28"/>
      <c r="KTW59" s="28"/>
      <c r="KTX59" s="28"/>
      <c r="KTY59" s="28"/>
      <c r="KTZ59" s="28"/>
      <c r="KUA59" s="28"/>
      <c r="KUB59" s="28"/>
      <c r="KUC59" s="28"/>
      <c r="KUD59" s="28"/>
      <c r="KUE59" s="28"/>
      <c r="KUF59" s="28"/>
      <c r="KUG59" s="28"/>
      <c r="KUH59" s="28"/>
      <c r="KUI59" s="28"/>
      <c r="KUJ59" s="28"/>
      <c r="KUK59" s="28"/>
      <c r="KUL59" s="28"/>
      <c r="KUM59" s="28"/>
      <c r="KUN59" s="28"/>
      <c r="KUO59" s="28"/>
      <c r="KUP59" s="28"/>
      <c r="KUQ59" s="28"/>
      <c r="KUR59" s="28"/>
      <c r="KUS59" s="28"/>
      <c r="KUT59" s="28"/>
      <c r="KUU59" s="28"/>
      <c r="KUV59" s="28"/>
      <c r="KUW59" s="28"/>
      <c r="KUX59" s="28"/>
      <c r="KUY59" s="28"/>
      <c r="KUZ59" s="28"/>
      <c r="KVA59" s="28"/>
      <c r="KVB59" s="28"/>
      <c r="KVC59" s="28"/>
      <c r="KVD59" s="28"/>
      <c r="KVE59" s="28"/>
      <c r="KVF59" s="28"/>
      <c r="KVG59" s="28"/>
      <c r="KVH59" s="28"/>
      <c r="KVI59" s="28"/>
      <c r="KVJ59" s="28"/>
      <c r="KVK59" s="28"/>
      <c r="KVL59" s="28"/>
      <c r="KVM59" s="28"/>
      <c r="KVN59" s="28"/>
      <c r="KVO59" s="28"/>
      <c r="KVP59" s="28"/>
      <c r="KVQ59" s="28"/>
      <c r="KVR59" s="28"/>
      <c r="KVS59" s="28"/>
      <c r="KVT59" s="28"/>
      <c r="KVU59" s="28"/>
      <c r="KVV59" s="28"/>
      <c r="KVW59" s="28"/>
      <c r="KVX59" s="28"/>
      <c r="KVY59" s="28"/>
      <c r="KVZ59" s="28"/>
      <c r="KWA59" s="28"/>
      <c r="KWB59" s="28"/>
      <c r="KWC59" s="28"/>
      <c r="KWD59" s="28"/>
      <c r="KWE59" s="28"/>
      <c r="KWF59" s="28"/>
      <c r="KWG59" s="28"/>
      <c r="KWH59" s="28"/>
      <c r="KWI59" s="28"/>
      <c r="KWJ59" s="28"/>
      <c r="KWK59" s="28"/>
      <c r="KWL59" s="28"/>
      <c r="KWM59" s="28"/>
      <c r="KWN59" s="28"/>
      <c r="KWO59" s="28"/>
      <c r="KWP59" s="28"/>
      <c r="KWQ59" s="28"/>
      <c r="KWR59" s="28"/>
      <c r="KWS59" s="28"/>
      <c r="KWT59" s="28"/>
      <c r="KWU59" s="28"/>
      <c r="KWV59" s="28"/>
      <c r="KWW59" s="28"/>
      <c r="KWX59" s="28"/>
      <c r="KWY59" s="28"/>
      <c r="KWZ59" s="28"/>
      <c r="KXA59" s="28"/>
      <c r="KXB59" s="28"/>
      <c r="KXC59" s="28"/>
      <c r="KXD59" s="28"/>
      <c r="KXE59" s="28"/>
      <c r="KXF59" s="28"/>
      <c r="KXG59" s="28"/>
      <c r="KXH59" s="28"/>
      <c r="KXI59" s="28"/>
      <c r="KXJ59" s="28"/>
      <c r="KXK59" s="28"/>
      <c r="KXL59" s="28"/>
      <c r="KXM59" s="28"/>
      <c r="KXN59" s="28"/>
      <c r="KXO59" s="28"/>
      <c r="KXP59" s="28"/>
      <c r="KXQ59" s="28"/>
      <c r="KXR59" s="28"/>
      <c r="KXS59" s="28"/>
      <c r="KXT59" s="28"/>
      <c r="KXU59" s="28"/>
      <c r="KXV59" s="28"/>
      <c r="KXW59" s="28"/>
      <c r="KXX59" s="28"/>
      <c r="KXY59" s="28"/>
      <c r="KXZ59" s="28"/>
      <c r="KYA59" s="28"/>
      <c r="KYB59" s="28"/>
      <c r="KYC59" s="28"/>
      <c r="KYD59" s="28"/>
      <c r="KYE59" s="28"/>
      <c r="KYF59" s="28"/>
      <c r="KYG59" s="28"/>
      <c r="KYH59" s="28"/>
      <c r="KYI59" s="28"/>
      <c r="KYJ59" s="28"/>
      <c r="KYK59" s="28"/>
      <c r="KYL59" s="28"/>
      <c r="KYM59" s="28"/>
      <c r="KYN59" s="28"/>
      <c r="KYO59" s="28"/>
      <c r="KYP59" s="28"/>
      <c r="KYQ59" s="28"/>
      <c r="KYR59" s="28"/>
      <c r="KYS59" s="28"/>
      <c r="KYT59" s="28"/>
      <c r="KYU59" s="28"/>
      <c r="KYV59" s="28"/>
      <c r="KYW59" s="28"/>
      <c r="KYX59" s="28"/>
      <c r="KYY59" s="28"/>
      <c r="KYZ59" s="28"/>
      <c r="KZA59" s="28"/>
      <c r="KZB59" s="28"/>
      <c r="KZC59" s="28"/>
      <c r="KZD59" s="28"/>
      <c r="KZE59" s="28"/>
      <c r="KZF59" s="28"/>
      <c r="KZG59" s="28"/>
      <c r="KZH59" s="28"/>
      <c r="KZI59" s="28"/>
      <c r="KZJ59" s="28"/>
      <c r="KZK59" s="28"/>
      <c r="KZL59" s="28"/>
      <c r="KZM59" s="28"/>
      <c r="KZN59" s="28"/>
      <c r="KZO59" s="28"/>
      <c r="KZP59" s="28"/>
      <c r="KZQ59" s="28"/>
      <c r="KZR59" s="28"/>
      <c r="KZS59" s="28"/>
      <c r="KZT59" s="28"/>
      <c r="KZU59" s="28"/>
      <c r="KZV59" s="28"/>
      <c r="KZW59" s="28"/>
      <c r="KZX59" s="28"/>
      <c r="KZY59" s="28"/>
      <c r="KZZ59" s="28"/>
      <c r="LAA59" s="28"/>
      <c r="LAB59" s="28"/>
      <c r="LAC59" s="28"/>
      <c r="LAD59" s="28"/>
      <c r="LAE59" s="28"/>
      <c r="LAF59" s="28"/>
      <c r="LAG59" s="28"/>
      <c r="LAH59" s="28"/>
      <c r="LAI59" s="28"/>
      <c r="LAJ59" s="28"/>
      <c r="LAK59" s="28"/>
      <c r="LAL59" s="28"/>
      <c r="LAM59" s="28"/>
      <c r="LAN59" s="28"/>
      <c r="LAO59" s="28"/>
      <c r="LAP59" s="28"/>
      <c r="LAQ59" s="28"/>
      <c r="LAR59" s="28"/>
      <c r="LAS59" s="28"/>
      <c r="LAT59" s="28"/>
      <c r="LAU59" s="28"/>
      <c r="LAV59" s="28"/>
      <c r="LAW59" s="28"/>
      <c r="LAX59" s="28"/>
      <c r="LAY59" s="28"/>
      <c r="LAZ59" s="28"/>
      <c r="LBA59" s="28"/>
      <c r="LBB59" s="28"/>
      <c r="LBC59" s="28"/>
      <c r="LBD59" s="28"/>
      <c r="LBE59" s="28"/>
      <c r="LBF59" s="28"/>
      <c r="LBG59" s="28"/>
      <c r="LBH59" s="28"/>
      <c r="LBI59" s="28"/>
      <c r="LBJ59" s="28"/>
      <c r="LBK59" s="28"/>
      <c r="LBL59" s="28"/>
      <c r="LBM59" s="28"/>
      <c r="LBN59" s="28"/>
      <c r="LBO59" s="28"/>
      <c r="LBP59" s="28"/>
      <c r="LBQ59" s="28"/>
      <c r="LBR59" s="28"/>
      <c r="LBS59" s="28"/>
      <c r="LBT59" s="28"/>
      <c r="LBU59" s="28"/>
      <c r="LBV59" s="28"/>
      <c r="LBW59" s="28"/>
      <c r="LBX59" s="28"/>
      <c r="LBY59" s="28"/>
      <c r="LBZ59" s="28"/>
      <c r="LCA59" s="28"/>
      <c r="LCB59" s="28"/>
      <c r="LCC59" s="28"/>
      <c r="LCD59" s="28"/>
      <c r="LCE59" s="28"/>
      <c r="LCF59" s="28"/>
      <c r="LCG59" s="28"/>
      <c r="LCH59" s="28"/>
      <c r="LCI59" s="28"/>
      <c r="LCJ59" s="28"/>
      <c r="LCK59" s="28"/>
      <c r="LCL59" s="28"/>
      <c r="LCM59" s="28"/>
      <c r="LCN59" s="28"/>
      <c r="LCO59" s="28"/>
      <c r="LCP59" s="28"/>
      <c r="LCQ59" s="28"/>
      <c r="LCR59" s="28"/>
      <c r="LCS59" s="28"/>
      <c r="LCT59" s="28"/>
      <c r="LCU59" s="28"/>
      <c r="LCV59" s="28"/>
      <c r="LCW59" s="28"/>
      <c r="LCX59" s="28"/>
      <c r="LCY59" s="28"/>
      <c r="LCZ59" s="28"/>
      <c r="LDA59" s="28"/>
      <c r="LDB59" s="28"/>
      <c r="LDC59" s="28"/>
      <c r="LDD59" s="28"/>
      <c r="LDE59" s="28"/>
      <c r="LDF59" s="28"/>
      <c r="LDG59" s="28"/>
      <c r="LDH59" s="28"/>
      <c r="LDI59" s="28"/>
      <c r="LDJ59" s="28"/>
      <c r="LDK59" s="28"/>
      <c r="LDL59" s="28"/>
      <c r="LDM59" s="28"/>
      <c r="LDN59" s="28"/>
      <c r="LDO59" s="28"/>
      <c r="LDP59" s="28"/>
      <c r="LDQ59" s="28"/>
      <c r="LDR59" s="28"/>
      <c r="LDS59" s="28"/>
      <c r="LDT59" s="28"/>
      <c r="LDU59" s="28"/>
      <c r="LDV59" s="28"/>
      <c r="LDW59" s="28"/>
      <c r="LDX59" s="28"/>
      <c r="LDY59" s="28"/>
      <c r="LDZ59" s="28"/>
      <c r="LEA59" s="28"/>
      <c r="LEB59" s="28"/>
      <c r="LEC59" s="28"/>
      <c r="LED59" s="28"/>
      <c r="LEE59" s="28"/>
      <c r="LEF59" s="28"/>
      <c r="LEG59" s="28"/>
      <c r="LEH59" s="28"/>
      <c r="LEI59" s="28"/>
      <c r="LEJ59" s="28"/>
      <c r="LEK59" s="28"/>
      <c r="LEL59" s="28"/>
      <c r="LEM59" s="28"/>
      <c r="LEN59" s="28"/>
      <c r="LEO59" s="28"/>
      <c r="LEP59" s="28"/>
      <c r="LEQ59" s="28"/>
      <c r="LER59" s="28"/>
      <c r="LES59" s="28"/>
      <c r="LET59" s="28"/>
      <c r="LEU59" s="28"/>
      <c r="LEV59" s="28"/>
      <c r="LEW59" s="28"/>
      <c r="LEX59" s="28"/>
      <c r="LEY59" s="28"/>
      <c r="LEZ59" s="28"/>
      <c r="LFA59" s="28"/>
      <c r="LFB59" s="28"/>
      <c r="LFC59" s="28"/>
      <c r="LFD59" s="28"/>
      <c r="LFE59" s="28"/>
      <c r="LFF59" s="28"/>
      <c r="LFG59" s="28"/>
      <c r="LFH59" s="28"/>
      <c r="LFI59" s="28"/>
      <c r="LFJ59" s="28"/>
      <c r="LFK59" s="28"/>
      <c r="LFL59" s="28"/>
      <c r="LFM59" s="28"/>
      <c r="LFN59" s="28"/>
      <c r="LFO59" s="28"/>
      <c r="LFP59" s="28"/>
      <c r="LFQ59" s="28"/>
      <c r="LFR59" s="28"/>
      <c r="LFS59" s="28"/>
      <c r="LFT59" s="28"/>
      <c r="LFU59" s="28"/>
      <c r="LFV59" s="28"/>
      <c r="LFW59" s="28"/>
      <c r="LFX59" s="28"/>
      <c r="LFY59" s="28"/>
      <c r="LFZ59" s="28"/>
      <c r="LGA59" s="28"/>
      <c r="LGB59" s="28"/>
      <c r="LGC59" s="28"/>
      <c r="LGD59" s="28"/>
      <c r="LGE59" s="28"/>
      <c r="LGF59" s="28"/>
      <c r="LGG59" s="28"/>
      <c r="LGH59" s="28"/>
      <c r="LGI59" s="28"/>
      <c r="LGJ59" s="28"/>
      <c r="LGK59" s="28"/>
      <c r="LGL59" s="28"/>
      <c r="LGM59" s="28"/>
      <c r="LGN59" s="28"/>
      <c r="LGO59" s="28"/>
      <c r="LGP59" s="28"/>
      <c r="LGQ59" s="28"/>
      <c r="LGR59" s="28"/>
      <c r="LGS59" s="28"/>
      <c r="LGT59" s="28"/>
      <c r="LGU59" s="28"/>
      <c r="LGV59" s="28"/>
      <c r="LGW59" s="28"/>
      <c r="LGX59" s="28"/>
      <c r="LGY59" s="28"/>
      <c r="LGZ59" s="28"/>
      <c r="LHA59" s="28"/>
      <c r="LHB59" s="28"/>
      <c r="LHC59" s="28"/>
      <c r="LHD59" s="28"/>
      <c r="LHE59" s="28"/>
      <c r="LHF59" s="28"/>
      <c r="LHG59" s="28"/>
      <c r="LHH59" s="28"/>
      <c r="LHI59" s="28"/>
      <c r="LHJ59" s="28"/>
      <c r="LHK59" s="28"/>
      <c r="LHL59" s="28"/>
      <c r="LHM59" s="28"/>
      <c r="LHN59" s="28"/>
      <c r="LHO59" s="28"/>
      <c r="LHP59" s="28"/>
      <c r="LHQ59" s="28"/>
      <c r="LHR59" s="28"/>
      <c r="LHS59" s="28"/>
      <c r="LHT59" s="28"/>
      <c r="LHU59" s="28"/>
      <c r="LHV59" s="28"/>
      <c r="LHW59" s="28"/>
      <c r="LHX59" s="28"/>
      <c r="LHY59" s="28"/>
      <c r="LHZ59" s="28"/>
      <c r="LIA59" s="28"/>
      <c r="LIB59" s="28"/>
      <c r="LIC59" s="28"/>
      <c r="LID59" s="28"/>
      <c r="LIE59" s="28"/>
      <c r="LIF59" s="28"/>
      <c r="LIG59" s="28"/>
      <c r="LIH59" s="28"/>
      <c r="LII59" s="28"/>
      <c r="LIJ59" s="28"/>
      <c r="LIK59" s="28"/>
      <c r="LIL59" s="28"/>
      <c r="LIM59" s="28"/>
      <c r="LIN59" s="28"/>
      <c r="LIO59" s="28"/>
      <c r="LIP59" s="28"/>
      <c r="LIQ59" s="28"/>
      <c r="LIR59" s="28"/>
      <c r="LIS59" s="28"/>
      <c r="LIT59" s="28"/>
      <c r="LIU59" s="28"/>
      <c r="LIV59" s="28"/>
      <c r="LIW59" s="28"/>
      <c r="LIX59" s="28"/>
      <c r="LIY59" s="28"/>
      <c r="LIZ59" s="28"/>
      <c r="LJA59" s="28"/>
      <c r="LJB59" s="28"/>
      <c r="LJC59" s="28"/>
      <c r="LJD59" s="28"/>
      <c r="LJE59" s="28"/>
      <c r="LJF59" s="28"/>
      <c r="LJG59" s="28"/>
      <c r="LJH59" s="28"/>
      <c r="LJI59" s="28"/>
      <c r="LJJ59" s="28"/>
      <c r="LJK59" s="28"/>
      <c r="LJL59" s="28"/>
      <c r="LJM59" s="28"/>
      <c r="LJN59" s="28"/>
      <c r="LJO59" s="28"/>
      <c r="LJP59" s="28"/>
      <c r="LJQ59" s="28"/>
      <c r="LJR59" s="28"/>
      <c r="LJS59" s="28"/>
      <c r="LJT59" s="28"/>
      <c r="LJU59" s="28"/>
      <c r="LJV59" s="28"/>
      <c r="LJW59" s="28"/>
      <c r="LJX59" s="28"/>
      <c r="LJY59" s="28"/>
      <c r="LJZ59" s="28"/>
      <c r="LKA59" s="28"/>
      <c r="LKB59" s="28"/>
      <c r="LKC59" s="28"/>
      <c r="LKD59" s="28"/>
      <c r="LKE59" s="28"/>
      <c r="LKF59" s="28"/>
      <c r="LKG59" s="28"/>
      <c r="LKH59" s="28"/>
      <c r="LKI59" s="28"/>
      <c r="LKJ59" s="28"/>
      <c r="LKK59" s="28"/>
      <c r="LKL59" s="28"/>
      <c r="LKM59" s="28"/>
      <c r="LKN59" s="28"/>
      <c r="LKO59" s="28"/>
      <c r="LKP59" s="28"/>
      <c r="LKQ59" s="28"/>
      <c r="LKR59" s="28"/>
      <c r="LKS59" s="28"/>
      <c r="LKT59" s="28"/>
      <c r="LKU59" s="28"/>
      <c r="LKV59" s="28"/>
      <c r="LKW59" s="28"/>
      <c r="LKX59" s="28"/>
      <c r="LKY59" s="28"/>
      <c r="LKZ59" s="28"/>
      <c r="LLA59" s="28"/>
      <c r="LLB59" s="28"/>
      <c r="LLC59" s="28"/>
      <c r="LLD59" s="28"/>
      <c r="LLE59" s="28"/>
      <c r="LLF59" s="28"/>
      <c r="LLG59" s="28"/>
      <c r="LLH59" s="28"/>
      <c r="LLI59" s="28"/>
      <c r="LLJ59" s="28"/>
      <c r="LLK59" s="28"/>
      <c r="LLL59" s="28"/>
      <c r="LLM59" s="28"/>
      <c r="LLN59" s="28"/>
      <c r="LLO59" s="28"/>
      <c r="LLP59" s="28"/>
      <c r="LLQ59" s="28"/>
      <c r="LLR59" s="28"/>
      <c r="LLS59" s="28"/>
      <c r="LLT59" s="28"/>
      <c r="LLU59" s="28"/>
      <c r="LLV59" s="28"/>
      <c r="LLW59" s="28"/>
      <c r="LLX59" s="28"/>
      <c r="LLY59" s="28"/>
      <c r="LLZ59" s="28"/>
      <c r="LMA59" s="28"/>
      <c r="LMB59" s="28"/>
      <c r="LMC59" s="28"/>
      <c r="LMD59" s="28"/>
      <c r="LME59" s="28"/>
      <c r="LMF59" s="28"/>
      <c r="LMG59" s="28"/>
      <c r="LMH59" s="28"/>
      <c r="LMI59" s="28"/>
      <c r="LMJ59" s="28"/>
      <c r="LMK59" s="28"/>
      <c r="LML59" s="28"/>
      <c r="LMM59" s="28"/>
      <c r="LMN59" s="28"/>
      <c r="LMO59" s="28"/>
      <c r="LMP59" s="28"/>
      <c r="LMQ59" s="28"/>
      <c r="LMR59" s="28"/>
      <c r="LMS59" s="28"/>
      <c r="LMT59" s="28"/>
      <c r="LMU59" s="28"/>
      <c r="LMV59" s="28"/>
      <c r="LMW59" s="28"/>
      <c r="LMX59" s="28"/>
      <c r="LMY59" s="28"/>
      <c r="LMZ59" s="28"/>
      <c r="LNA59" s="28"/>
      <c r="LNB59" s="28"/>
      <c r="LNC59" s="28"/>
      <c r="LND59" s="28"/>
      <c r="LNE59" s="28"/>
      <c r="LNF59" s="28"/>
      <c r="LNG59" s="28"/>
      <c r="LNH59" s="28"/>
      <c r="LNI59" s="28"/>
      <c r="LNJ59" s="28"/>
      <c r="LNK59" s="28"/>
      <c r="LNL59" s="28"/>
      <c r="LNM59" s="28"/>
      <c r="LNN59" s="28"/>
      <c r="LNO59" s="28"/>
      <c r="LNP59" s="28"/>
      <c r="LNQ59" s="28"/>
      <c r="LNR59" s="28"/>
      <c r="LNS59" s="28"/>
      <c r="LNT59" s="28"/>
      <c r="LNU59" s="28"/>
      <c r="LNV59" s="28"/>
      <c r="LNW59" s="28"/>
      <c r="LNX59" s="28"/>
      <c r="LNY59" s="28"/>
      <c r="LNZ59" s="28"/>
      <c r="LOA59" s="28"/>
      <c r="LOB59" s="28"/>
      <c r="LOC59" s="28"/>
      <c r="LOD59" s="28"/>
      <c r="LOE59" s="28"/>
      <c r="LOF59" s="28"/>
      <c r="LOG59" s="28"/>
      <c r="LOH59" s="28"/>
      <c r="LOI59" s="28"/>
      <c r="LOJ59" s="28"/>
      <c r="LOK59" s="28"/>
      <c r="LOL59" s="28"/>
      <c r="LOM59" s="28"/>
      <c r="LON59" s="28"/>
      <c r="LOO59" s="28"/>
      <c r="LOP59" s="28"/>
      <c r="LOQ59" s="28"/>
      <c r="LOR59" s="28"/>
      <c r="LOS59" s="28"/>
      <c r="LOT59" s="28"/>
      <c r="LOU59" s="28"/>
      <c r="LOV59" s="28"/>
      <c r="LOW59" s="28"/>
      <c r="LOX59" s="28"/>
      <c r="LOY59" s="28"/>
      <c r="LOZ59" s="28"/>
      <c r="LPA59" s="28"/>
      <c r="LPB59" s="28"/>
      <c r="LPC59" s="28"/>
      <c r="LPD59" s="28"/>
      <c r="LPE59" s="28"/>
      <c r="LPF59" s="28"/>
      <c r="LPG59" s="28"/>
      <c r="LPH59" s="28"/>
      <c r="LPI59" s="28"/>
      <c r="LPJ59" s="28"/>
      <c r="LPK59" s="28"/>
      <c r="LPL59" s="28"/>
      <c r="LPM59" s="28"/>
      <c r="LPN59" s="28"/>
      <c r="LPO59" s="28"/>
      <c r="LPP59" s="28"/>
      <c r="LPQ59" s="28"/>
      <c r="LPR59" s="28"/>
      <c r="LPS59" s="28"/>
      <c r="LPT59" s="28"/>
      <c r="LPU59" s="28"/>
      <c r="LPV59" s="28"/>
      <c r="LPW59" s="28"/>
      <c r="LPX59" s="28"/>
      <c r="LPY59" s="28"/>
      <c r="LPZ59" s="28"/>
      <c r="LQA59" s="28"/>
      <c r="LQB59" s="28"/>
      <c r="LQC59" s="28"/>
      <c r="LQD59" s="28"/>
      <c r="LQE59" s="28"/>
      <c r="LQF59" s="28"/>
      <c r="LQG59" s="28"/>
      <c r="LQH59" s="28"/>
      <c r="LQI59" s="28"/>
      <c r="LQJ59" s="28"/>
      <c r="LQK59" s="28"/>
      <c r="LQL59" s="28"/>
      <c r="LQM59" s="28"/>
      <c r="LQN59" s="28"/>
      <c r="LQO59" s="28"/>
      <c r="LQP59" s="28"/>
      <c r="LQQ59" s="28"/>
      <c r="LQR59" s="28"/>
      <c r="LQS59" s="28"/>
      <c r="LQT59" s="28"/>
      <c r="LQU59" s="28"/>
      <c r="LQV59" s="28"/>
      <c r="LQW59" s="28"/>
      <c r="LQX59" s="28"/>
      <c r="LQY59" s="28"/>
      <c r="LQZ59" s="28"/>
      <c r="LRA59" s="28"/>
      <c r="LRB59" s="28"/>
      <c r="LRC59" s="28"/>
      <c r="LRD59" s="28"/>
      <c r="LRE59" s="28"/>
      <c r="LRF59" s="28"/>
      <c r="LRG59" s="28"/>
      <c r="LRH59" s="28"/>
      <c r="LRI59" s="28"/>
      <c r="LRJ59" s="28"/>
      <c r="LRK59" s="28"/>
      <c r="LRL59" s="28"/>
      <c r="LRM59" s="28"/>
      <c r="LRN59" s="28"/>
      <c r="LRO59" s="28"/>
      <c r="LRP59" s="28"/>
      <c r="LRQ59" s="28"/>
      <c r="LRR59" s="28"/>
      <c r="LRS59" s="28"/>
      <c r="LRT59" s="28"/>
      <c r="LRU59" s="28"/>
      <c r="LRV59" s="28"/>
      <c r="LRW59" s="28"/>
      <c r="LRX59" s="28"/>
      <c r="LRY59" s="28"/>
      <c r="LRZ59" s="28"/>
      <c r="LSA59" s="28"/>
      <c r="LSB59" s="28"/>
      <c r="LSC59" s="28"/>
      <c r="LSD59" s="28"/>
      <c r="LSE59" s="28"/>
      <c r="LSF59" s="28"/>
      <c r="LSG59" s="28"/>
      <c r="LSH59" s="28"/>
      <c r="LSI59" s="28"/>
      <c r="LSJ59" s="28"/>
      <c r="LSK59" s="28"/>
      <c r="LSL59" s="28"/>
      <c r="LSM59" s="28"/>
      <c r="LSN59" s="28"/>
      <c r="LSO59" s="28"/>
      <c r="LSP59" s="28"/>
      <c r="LSQ59" s="28"/>
      <c r="LSR59" s="28"/>
      <c r="LSS59" s="28"/>
      <c r="LST59" s="28"/>
      <c r="LSU59" s="28"/>
      <c r="LSV59" s="28"/>
      <c r="LSW59" s="28"/>
      <c r="LSX59" s="28"/>
      <c r="LSY59" s="28"/>
      <c r="LSZ59" s="28"/>
      <c r="LTA59" s="28"/>
      <c r="LTB59" s="28"/>
      <c r="LTC59" s="28"/>
      <c r="LTD59" s="28"/>
      <c r="LTE59" s="28"/>
      <c r="LTF59" s="28"/>
      <c r="LTG59" s="28"/>
      <c r="LTH59" s="28"/>
      <c r="LTI59" s="28"/>
      <c r="LTJ59" s="28"/>
      <c r="LTK59" s="28"/>
      <c r="LTL59" s="28"/>
      <c r="LTM59" s="28"/>
      <c r="LTN59" s="28"/>
      <c r="LTO59" s="28"/>
      <c r="LTP59" s="28"/>
      <c r="LTQ59" s="28"/>
      <c r="LTR59" s="28"/>
      <c r="LTS59" s="28"/>
      <c r="LTT59" s="28"/>
      <c r="LTU59" s="28"/>
      <c r="LTV59" s="28"/>
      <c r="LTW59" s="28"/>
      <c r="LTX59" s="28"/>
      <c r="LTY59" s="28"/>
      <c r="LTZ59" s="28"/>
      <c r="LUA59" s="28"/>
      <c r="LUB59" s="28"/>
      <c r="LUC59" s="28"/>
      <c r="LUD59" s="28"/>
      <c r="LUE59" s="28"/>
      <c r="LUF59" s="28"/>
      <c r="LUG59" s="28"/>
      <c r="LUH59" s="28"/>
      <c r="LUI59" s="28"/>
      <c r="LUJ59" s="28"/>
      <c r="LUK59" s="28"/>
      <c r="LUL59" s="28"/>
      <c r="LUM59" s="28"/>
      <c r="LUN59" s="28"/>
      <c r="LUO59" s="28"/>
      <c r="LUP59" s="28"/>
      <c r="LUQ59" s="28"/>
      <c r="LUR59" s="28"/>
      <c r="LUS59" s="28"/>
      <c r="LUT59" s="28"/>
      <c r="LUU59" s="28"/>
      <c r="LUV59" s="28"/>
      <c r="LUW59" s="28"/>
      <c r="LUX59" s="28"/>
      <c r="LUY59" s="28"/>
      <c r="LUZ59" s="28"/>
      <c r="LVA59" s="28"/>
      <c r="LVB59" s="28"/>
      <c r="LVC59" s="28"/>
      <c r="LVD59" s="28"/>
      <c r="LVE59" s="28"/>
      <c r="LVF59" s="28"/>
      <c r="LVG59" s="28"/>
      <c r="LVH59" s="28"/>
      <c r="LVI59" s="28"/>
      <c r="LVJ59" s="28"/>
      <c r="LVK59" s="28"/>
      <c r="LVL59" s="28"/>
      <c r="LVM59" s="28"/>
      <c r="LVN59" s="28"/>
      <c r="LVO59" s="28"/>
      <c r="LVP59" s="28"/>
      <c r="LVQ59" s="28"/>
      <c r="LVR59" s="28"/>
      <c r="LVS59" s="28"/>
      <c r="LVT59" s="28"/>
      <c r="LVU59" s="28"/>
      <c r="LVV59" s="28"/>
      <c r="LVW59" s="28"/>
      <c r="LVX59" s="28"/>
      <c r="LVY59" s="28"/>
      <c r="LVZ59" s="28"/>
      <c r="LWA59" s="28"/>
      <c r="LWB59" s="28"/>
      <c r="LWC59" s="28"/>
      <c r="LWD59" s="28"/>
      <c r="LWE59" s="28"/>
      <c r="LWF59" s="28"/>
      <c r="LWG59" s="28"/>
      <c r="LWH59" s="28"/>
      <c r="LWI59" s="28"/>
      <c r="LWJ59" s="28"/>
      <c r="LWK59" s="28"/>
      <c r="LWL59" s="28"/>
      <c r="LWM59" s="28"/>
      <c r="LWN59" s="28"/>
      <c r="LWO59" s="28"/>
      <c r="LWP59" s="28"/>
      <c r="LWQ59" s="28"/>
      <c r="LWR59" s="28"/>
      <c r="LWS59" s="28"/>
      <c r="LWT59" s="28"/>
      <c r="LWU59" s="28"/>
      <c r="LWV59" s="28"/>
      <c r="LWW59" s="28"/>
      <c r="LWX59" s="28"/>
      <c r="LWY59" s="28"/>
      <c r="LWZ59" s="28"/>
      <c r="LXA59" s="28"/>
      <c r="LXB59" s="28"/>
      <c r="LXC59" s="28"/>
      <c r="LXD59" s="28"/>
      <c r="LXE59" s="28"/>
      <c r="LXF59" s="28"/>
      <c r="LXG59" s="28"/>
      <c r="LXH59" s="28"/>
      <c r="LXI59" s="28"/>
      <c r="LXJ59" s="28"/>
      <c r="LXK59" s="28"/>
      <c r="LXL59" s="28"/>
      <c r="LXM59" s="28"/>
      <c r="LXN59" s="28"/>
      <c r="LXO59" s="28"/>
      <c r="LXP59" s="28"/>
      <c r="LXQ59" s="28"/>
      <c r="LXR59" s="28"/>
      <c r="LXS59" s="28"/>
      <c r="LXT59" s="28"/>
      <c r="LXU59" s="28"/>
      <c r="LXV59" s="28"/>
      <c r="LXW59" s="28"/>
      <c r="LXX59" s="28"/>
      <c r="LXY59" s="28"/>
      <c r="LXZ59" s="28"/>
      <c r="LYA59" s="28"/>
      <c r="LYB59" s="28"/>
      <c r="LYC59" s="28"/>
      <c r="LYD59" s="28"/>
      <c r="LYE59" s="28"/>
      <c r="LYF59" s="28"/>
      <c r="LYG59" s="28"/>
      <c r="LYH59" s="28"/>
      <c r="LYI59" s="28"/>
      <c r="LYJ59" s="28"/>
      <c r="LYK59" s="28"/>
      <c r="LYL59" s="28"/>
      <c r="LYM59" s="28"/>
      <c r="LYN59" s="28"/>
      <c r="LYO59" s="28"/>
      <c r="LYP59" s="28"/>
      <c r="LYQ59" s="28"/>
      <c r="LYR59" s="28"/>
      <c r="LYS59" s="28"/>
      <c r="LYT59" s="28"/>
      <c r="LYU59" s="28"/>
      <c r="LYV59" s="28"/>
      <c r="LYW59" s="28"/>
      <c r="LYX59" s="28"/>
      <c r="LYY59" s="28"/>
      <c r="LYZ59" s="28"/>
      <c r="LZA59" s="28"/>
      <c r="LZB59" s="28"/>
      <c r="LZC59" s="28"/>
      <c r="LZD59" s="28"/>
      <c r="LZE59" s="28"/>
      <c r="LZF59" s="28"/>
      <c r="LZG59" s="28"/>
      <c r="LZH59" s="28"/>
      <c r="LZI59" s="28"/>
      <c r="LZJ59" s="28"/>
      <c r="LZK59" s="28"/>
      <c r="LZL59" s="28"/>
      <c r="LZM59" s="28"/>
      <c r="LZN59" s="28"/>
      <c r="LZO59" s="28"/>
      <c r="LZP59" s="28"/>
      <c r="LZQ59" s="28"/>
      <c r="LZR59" s="28"/>
      <c r="LZS59" s="28"/>
      <c r="LZT59" s="28"/>
      <c r="LZU59" s="28"/>
      <c r="LZV59" s="28"/>
      <c r="LZW59" s="28"/>
      <c r="LZX59" s="28"/>
      <c r="LZY59" s="28"/>
      <c r="LZZ59" s="28"/>
      <c r="MAA59" s="28"/>
      <c r="MAB59" s="28"/>
      <c r="MAC59" s="28"/>
      <c r="MAD59" s="28"/>
      <c r="MAE59" s="28"/>
      <c r="MAF59" s="28"/>
      <c r="MAG59" s="28"/>
      <c r="MAH59" s="28"/>
      <c r="MAI59" s="28"/>
      <c r="MAJ59" s="28"/>
      <c r="MAK59" s="28"/>
      <c r="MAL59" s="28"/>
      <c r="MAM59" s="28"/>
      <c r="MAN59" s="28"/>
      <c r="MAO59" s="28"/>
      <c r="MAP59" s="28"/>
      <c r="MAQ59" s="28"/>
      <c r="MAR59" s="28"/>
      <c r="MAS59" s="28"/>
      <c r="MAT59" s="28"/>
      <c r="MAU59" s="28"/>
      <c r="MAV59" s="28"/>
      <c r="MAW59" s="28"/>
      <c r="MAX59" s="28"/>
      <c r="MAY59" s="28"/>
      <c r="MAZ59" s="28"/>
      <c r="MBA59" s="28"/>
      <c r="MBB59" s="28"/>
      <c r="MBC59" s="28"/>
      <c r="MBD59" s="28"/>
      <c r="MBE59" s="28"/>
      <c r="MBF59" s="28"/>
      <c r="MBG59" s="28"/>
      <c r="MBH59" s="28"/>
      <c r="MBI59" s="28"/>
      <c r="MBJ59" s="28"/>
      <c r="MBK59" s="28"/>
      <c r="MBL59" s="28"/>
      <c r="MBM59" s="28"/>
      <c r="MBN59" s="28"/>
      <c r="MBO59" s="28"/>
      <c r="MBP59" s="28"/>
      <c r="MBQ59" s="28"/>
      <c r="MBR59" s="28"/>
      <c r="MBS59" s="28"/>
      <c r="MBT59" s="28"/>
      <c r="MBU59" s="28"/>
      <c r="MBV59" s="28"/>
      <c r="MBW59" s="28"/>
      <c r="MBX59" s="28"/>
      <c r="MBY59" s="28"/>
      <c r="MBZ59" s="28"/>
      <c r="MCA59" s="28"/>
      <c r="MCB59" s="28"/>
      <c r="MCC59" s="28"/>
      <c r="MCD59" s="28"/>
      <c r="MCE59" s="28"/>
      <c r="MCF59" s="28"/>
      <c r="MCG59" s="28"/>
      <c r="MCH59" s="28"/>
      <c r="MCI59" s="28"/>
      <c r="MCJ59" s="28"/>
      <c r="MCK59" s="28"/>
      <c r="MCL59" s="28"/>
      <c r="MCM59" s="28"/>
      <c r="MCN59" s="28"/>
      <c r="MCO59" s="28"/>
      <c r="MCP59" s="28"/>
      <c r="MCQ59" s="28"/>
      <c r="MCR59" s="28"/>
      <c r="MCS59" s="28"/>
      <c r="MCT59" s="28"/>
      <c r="MCU59" s="28"/>
      <c r="MCV59" s="28"/>
      <c r="MCW59" s="28"/>
      <c r="MCX59" s="28"/>
      <c r="MCY59" s="28"/>
      <c r="MCZ59" s="28"/>
      <c r="MDA59" s="28"/>
      <c r="MDB59" s="28"/>
      <c r="MDC59" s="28"/>
      <c r="MDD59" s="28"/>
      <c r="MDE59" s="28"/>
      <c r="MDF59" s="28"/>
      <c r="MDG59" s="28"/>
      <c r="MDH59" s="28"/>
      <c r="MDI59" s="28"/>
      <c r="MDJ59" s="28"/>
      <c r="MDK59" s="28"/>
      <c r="MDL59" s="28"/>
      <c r="MDM59" s="28"/>
      <c r="MDN59" s="28"/>
      <c r="MDO59" s="28"/>
      <c r="MDP59" s="28"/>
      <c r="MDQ59" s="28"/>
      <c r="MDR59" s="28"/>
      <c r="MDS59" s="28"/>
      <c r="MDT59" s="28"/>
      <c r="MDU59" s="28"/>
      <c r="MDV59" s="28"/>
      <c r="MDW59" s="28"/>
      <c r="MDX59" s="28"/>
      <c r="MDY59" s="28"/>
      <c r="MDZ59" s="28"/>
      <c r="MEA59" s="28"/>
      <c r="MEB59" s="28"/>
      <c r="MEC59" s="28"/>
      <c r="MED59" s="28"/>
      <c r="MEE59" s="28"/>
      <c r="MEF59" s="28"/>
      <c r="MEG59" s="28"/>
      <c r="MEH59" s="28"/>
      <c r="MEI59" s="28"/>
      <c r="MEJ59" s="28"/>
      <c r="MEK59" s="28"/>
      <c r="MEL59" s="28"/>
      <c r="MEM59" s="28"/>
      <c r="MEN59" s="28"/>
      <c r="MEO59" s="28"/>
      <c r="MEP59" s="28"/>
      <c r="MEQ59" s="28"/>
      <c r="MER59" s="28"/>
      <c r="MES59" s="28"/>
      <c r="MET59" s="28"/>
      <c r="MEU59" s="28"/>
      <c r="MEV59" s="28"/>
      <c r="MEW59" s="28"/>
      <c r="MEX59" s="28"/>
      <c r="MEY59" s="28"/>
      <c r="MEZ59" s="28"/>
      <c r="MFA59" s="28"/>
      <c r="MFB59" s="28"/>
      <c r="MFC59" s="28"/>
      <c r="MFD59" s="28"/>
      <c r="MFE59" s="28"/>
      <c r="MFF59" s="28"/>
      <c r="MFG59" s="28"/>
      <c r="MFH59" s="28"/>
      <c r="MFI59" s="28"/>
      <c r="MFJ59" s="28"/>
      <c r="MFK59" s="28"/>
      <c r="MFL59" s="28"/>
      <c r="MFM59" s="28"/>
      <c r="MFN59" s="28"/>
      <c r="MFO59" s="28"/>
      <c r="MFP59" s="28"/>
      <c r="MFQ59" s="28"/>
      <c r="MFR59" s="28"/>
      <c r="MFS59" s="28"/>
      <c r="MFT59" s="28"/>
      <c r="MFU59" s="28"/>
      <c r="MFV59" s="28"/>
      <c r="MFW59" s="28"/>
      <c r="MFX59" s="28"/>
      <c r="MFY59" s="28"/>
      <c r="MFZ59" s="28"/>
      <c r="MGA59" s="28"/>
      <c r="MGB59" s="28"/>
      <c r="MGC59" s="28"/>
      <c r="MGD59" s="28"/>
      <c r="MGE59" s="28"/>
      <c r="MGF59" s="28"/>
      <c r="MGG59" s="28"/>
      <c r="MGH59" s="28"/>
      <c r="MGI59" s="28"/>
      <c r="MGJ59" s="28"/>
      <c r="MGK59" s="28"/>
      <c r="MGL59" s="28"/>
      <c r="MGM59" s="28"/>
      <c r="MGN59" s="28"/>
      <c r="MGO59" s="28"/>
      <c r="MGP59" s="28"/>
      <c r="MGQ59" s="28"/>
      <c r="MGR59" s="28"/>
      <c r="MGS59" s="28"/>
      <c r="MGT59" s="28"/>
      <c r="MGU59" s="28"/>
      <c r="MGV59" s="28"/>
      <c r="MGW59" s="28"/>
      <c r="MGX59" s="28"/>
      <c r="MGY59" s="28"/>
      <c r="MGZ59" s="28"/>
      <c r="MHA59" s="28"/>
      <c r="MHB59" s="28"/>
      <c r="MHC59" s="28"/>
      <c r="MHD59" s="28"/>
      <c r="MHE59" s="28"/>
      <c r="MHF59" s="28"/>
      <c r="MHG59" s="28"/>
      <c r="MHH59" s="28"/>
      <c r="MHI59" s="28"/>
      <c r="MHJ59" s="28"/>
      <c r="MHK59" s="28"/>
      <c r="MHL59" s="28"/>
      <c r="MHM59" s="28"/>
      <c r="MHN59" s="28"/>
      <c r="MHO59" s="28"/>
      <c r="MHP59" s="28"/>
      <c r="MHQ59" s="28"/>
      <c r="MHR59" s="28"/>
      <c r="MHS59" s="28"/>
      <c r="MHT59" s="28"/>
      <c r="MHU59" s="28"/>
      <c r="MHV59" s="28"/>
      <c r="MHW59" s="28"/>
      <c r="MHX59" s="28"/>
      <c r="MHY59" s="28"/>
      <c r="MHZ59" s="28"/>
      <c r="MIA59" s="28"/>
      <c r="MIB59" s="28"/>
      <c r="MIC59" s="28"/>
      <c r="MID59" s="28"/>
      <c r="MIE59" s="28"/>
      <c r="MIF59" s="28"/>
      <c r="MIG59" s="28"/>
      <c r="MIH59" s="28"/>
      <c r="MII59" s="28"/>
      <c r="MIJ59" s="28"/>
      <c r="MIK59" s="28"/>
      <c r="MIL59" s="28"/>
      <c r="MIM59" s="28"/>
      <c r="MIN59" s="28"/>
      <c r="MIO59" s="28"/>
      <c r="MIP59" s="28"/>
      <c r="MIQ59" s="28"/>
      <c r="MIR59" s="28"/>
      <c r="MIS59" s="28"/>
      <c r="MIT59" s="28"/>
      <c r="MIU59" s="28"/>
      <c r="MIV59" s="28"/>
      <c r="MIW59" s="28"/>
      <c r="MIX59" s="28"/>
      <c r="MIY59" s="28"/>
      <c r="MIZ59" s="28"/>
      <c r="MJA59" s="28"/>
      <c r="MJB59" s="28"/>
      <c r="MJC59" s="28"/>
      <c r="MJD59" s="28"/>
      <c r="MJE59" s="28"/>
      <c r="MJF59" s="28"/>
      <c r="MJG59" s="28"/>
      <c r="MJH59" s="28"/>
      <c r="MJI59" s="28"/>
      <c r="MJJ59" s="28"/>
      <c r="MJK59" s="28"/>
      <c r="MJL59" s="28"/>
      <c r="MJM59" s="28"/>
      <c r="MJN59" s="28"/>
      <c r="MJO59" s="28"/>
      <c r="MJP59" s="28"/>
      <c r="MJQ59" s="28"/>
      <c r="MJR59" s="28"/>
      <c r="MJS59" s="28"/>
      <c r="MJT59" s="28"/>
      <c r="MJU59" s="28"/>
      <c r="MJV59" s="28"/>
      <c r="MJW59" s="28"/>
      <c r="MJX59" s="28"/>
      <c r="MJY59" s="28"/>
      <c r="MJZ59" s="28"/>
      <c r="MKA59" s="28"/>
      <c r="MKB59" s="28"/>
      <c r="MKC59" s="28"/>
      <c r="MKD59" s="28"/>
      <c r="MKE59" s="28"/>
      <c r="MKF59" s="28"/>
      <c r="MKG59" s="28"/>
      <c r="MKH59" s="28"/>
      <c r="MKI59" s="28"/>
      <c r="MKJ59" s="28"/>
      <c r="MKK59" s="28"/>
      <c r="MKL59" s="28"/>
      <c r="MKM59" s="28"/>
      <c r="MKN59" s="28"/>
      <c r="MKO59" s="28"/>
      <c r="MKP59" s="28"/>
      <c r="MKQ59" s="28"/>
      <c r="MKR59" s="28"/>
      <c r="MKS59" s="28"/>
      <c r="MKT59" s="28"/>
      <c r="MKU59" s="28"/>
      <c r="MKV59" s="28"/>
      <c r="MKW59" s="28"/>
      <c r="MKX59" s="28"/>
      <c r="MKY59" s="28"/>
      <c r="MKZ59" s="28"/>
      <c r="MLA59" s="28"/>
      <c r="MLB59" s="28"/>
      <c r="MLC59" s="28"/>
      <c r="MLD59" s="28"/>
      <c r="MLE59" s="28"/>
      <c r="MLF59" s="28"/>
      <c r="MLG59" s="28"/>
      <c r="MLH59" s="28"/>
      <c r="MLI59" s="28"/>
      <c r="MLJ59" s="28"/>
      <c r="MLK59" s="28"/>
      <c r="MLL59" s="28"/>
      <c r="MLM59" s="28"/>
      <c r="MLN59" s="28"/>
      <c r="MLO59" s="28"/>
      <c r="MLP59" s="28"/>
      <c r="MLQ59" s="28"/>
      <c r="MLR59" s="28"/>
      <c r="MLS59" s="28"/>
      <c r="MLT59" s="28"/>
      <c r="MLU59" s="28"/>
      <c r="MLV59" s="28"/>
      <c r="MLW59" s="28"/>
      <c r="MLX59" s="28"/>
      <c r="MLY59" s="28"/>
      <c r="MLZ59" s="28"/>
      <c r="MMA59" s="28"/>
      <c r="MMB59" s="28"/>
      <c r="MMC59" s="28"/>
      <c r="MMD59" s="28"/>
      <c r="MME59" s="28"/>
      <c r="MMF59" s="28"/>
      <c r="MMG59" s="28"/>
      <c r="MMH59" s="28"/>
      <c r="MMI59" s="28"/>
      <c r="MMJ59" s="28"/>
      <c r="MMK59" s="28"/>
      <c r="MML59" s="28"/>
      <c r="MMM59" s="28"/>
      <c r="MMN59" s="28"/>
      <c r="MMO59" s="28"/>
      <c r="MMP59" s="28"/>
      <c r="MMQ59" s="28"/>
      <c r="MMR59" s="28"/>
      <c r="MMS59" s="28"/>
      <c r="MMT59" s="28"/>
      <c r="MMU59" s="28"/>
      <c r="MMV59" s="28"/>
      <c r="MMW59" s="28"/>
      <c r="MMX59" s="28"/>
      <c r="MMY59" s="28"/>
      <c r="MMZ59" s="28"/>
      <c r="MNA59" s="28"/>
      <c r="MNB59" s="28"/>
      <c r="MNC59" s="28"/>
      <c r="MND59" s="28"/>
      <c r="MNE59" s="28"/>
      <c r="MNF59" s="28"/>
      <c r="MNG59" s="28"/>
      <c r="MNH59" s="28"/>
      <c r="MNI59" s="28"/>
      <c r="MNJ59" s="28"/>
      <c r="MNK59" s="28"/>
      <c r="MNL59" s="28"/>
      <c r="MNM59" s="28"/>
      <c r="MNN59" s="28"/>
      <c r="MNO59" s="28"/>
      <c r="MNP59" s="28"/>
      <c r="MNQ59" s="28"/>
      <c r="MNR59" s="28"/>
      <c r="MNS59" s="28"/>
      <c r="MNT59" s="28"/>
      <c r="MNU59" s="28"/>
      <c r="MNV59" s="28"/>
      <c r="MNW59" s="28"/>
      <c r="MNX59" s="28"/>
      <c r="MNY59" s="28"/>
      <c r="MNZ59" s="28"/>
      <c r="MOA59" s="28"/>
      <c r="MOB59" s="28"/>
      <c r="MOC59" s="28"/>
      <c r="MOD59" s="28"/>
      <c r="MOE59" s="28"/>
      <c r="MOF59" s="28"/>
      <c r="MOG59" s="28"/>
      <c r="MOH59" s="28"/>
      <c r="MOI59" s="28"/>
      <c r="MOJ59" s="28"/>
      <c r="MOK59" s="28"/>
      <c r="MOL59" s="28"/>
      <c r="MOM59" s="28"/>
      <c r="MON59" s="28"/>
      <c r="MOO59" s="28"/>
      <c r="MOP59" s="28"/>
      <c r="MOQ59" s="28"/>
      <c r="MOR59" s="28"/>
      <c r="MOS59" s="28"/>
      <c r="MOT59" s="28"/>
      <c r="MOU59" s="28"/>
      <c r="MOV59" s="28"/>
      <c r="MOW59" s="28"/>
      <c r="MOX59" s="28"/>
      <c r="MOY59" s="28"/>
      <c r="MOZ59" s="28"/>
      <c r="MPA59" s="28"/>
      <c r="MPB59" s="28"/>
      <c r="MPC59" s="28"/>
      <c r="MPD59" s="28"/>
      <c r="MPE59" s="28"/>
      <c r="MPF59" s="28"/>
      <c r="MPG59" s="28"/>
      <c r="MPH59" s="28"/>
      <c r="MPI59" s="28"/>
      <c r="MPJ59" s="28"/>
      <c r="MPK59" s="28"/>
      <c r="MPL59" s="28"/>
      <c r="MPM59" s="28"/>
      <c r="MPN59" s="28"/>
      <c r="MPO59" s="28"/>
      <c r="MPP59" s="28"/>
      <c r="MPQ59" s="28"/>
      <c r="MPR59" s="28"/>
      <c r="MPS59" s="28"/>
      <c r="MPT59" s="28"/>
      <c r="MPU59" s="28"/>
      <c r="MPV59" s="28"/>
      <c r="MPW59" s="28"/>
      <c r="MPX59" s="28"/>
      <c r="MPY59" s="28"/>
      <c r="MPZ59" s="28"/>
      <c r="MQA59" s="28"/>
      <c r="MQB59" s="28"/>
      <c r="MQC59" s="28"/>
      <c r="MQD59" s="28"/>
      <c r="MQE59" s="28"/>
      <c r="MQF59" s="28"/>
      <c r="MQG59" s="28"/>
      <c r="MQH59" s="28"/>
      <c r="MQI59" s="28"/>
      <c r="MQJ59" s="28"/>
      <c r="MQK59" s="28"/>
      <c r="MQL59" s="28"/>
      <c r="MQM59" s="28"/>
      <c r="MQN59" s="28"/>
      <c r="MQO59" s="28"/>
      <c r="MQP59" s="28"/>
      <c r="MQQ59" s="28"/>
      <c r="MQR59" s="28"/>
      <c r="MQS59" s="28"/>
      <c r="MQT59" s="28"/>
      <c r="MQU59" s="28"/>
      <c r="MQV59" s="28"/>
      <c r="MQW59" s="28"/>
      <c r="MQX59" s="28"/>
      <c r="MQY59" s="28"/>
      <c r="MQZ59" s="28"/>
      <c r="MRA59" s="28"/>
      <c r="MRB59" s="28"/>
      <c r="MRC59" s="28"/>
      <c r="MRD59" s="28"/>
      <c r="MRE59" s="28"/>
      <c r="MRF59" s="28"/>
      <c r="MRG59" s="28"/>
      <c r="MRH59" s="28"/>
      <c r="MRI59" s="28"/>
      <c r="MRJ59" s="28"/>
      <c r="MRK59" s="28"/>
      <c r="MRL59" s="28"/>
      <c r="MRM59" s="28"/>
      <c r="MRN59" s="28"/>
      <c r="MRO59" s="28"/>
      <c r="MRP59" s="28"/>
      <c r="MRQ59" s="28"/>
      <c r="MRR59" s="28"/>
      <c r="MRS59" s="28"/>
      <c r="MRT59" s="28"/>
      <c r="MRU59" s="28"/>
      <c r="MRV59" s="28"/>
      <c r="MRW59" s="28"/>
      <c r="MRX59" s="28"/>
      <c r="MRY59" s="28"/>
      <c r="MRZ59" s="28"/>
      <c r="MSA59" s="28"/>
      <c r="MSB59" s="28"/>
      <c r="MSC59" s="28"/>
      <c r="MSD59" s="28"/>
      <c r="MSE59" s="28"/>
      <c r="MSF59" s="28"/>
      <c r="MSG59" s="28"/>
      <c r="MSH59" s="28"/>
      <c r="MSI59" s="28"/>
      <c r="MSJ59" s="28"/>
      <c r="MSK59" s="28"/>
      <c r="MSL59" s="28"/>
      <c r="MSM59" s="28"/>
      <c r="MSN59" s="28"/>
      <c r="MSO59" s="28"/>
      <c r="MSP59" s="28"/>
      <c r="MSQ59" s="28"/>
      <c r="MSR59" s="28"/>
      <c r="MSS59" s="28"/>
      <c r="MST59" s="28"/>
      <c r="MSU59" s="28"/>
      <c r="MSV59" s="28"/>
      <c r="MSW59" s="28"/>
      <c r="MSX59" s="28"/>
      <c r="MSY59" s="28"/>
      <c r="MSZ59" s="28"/>
      <c r="MTA59" s="28"/>
      <c r="MTB59" s="28"/>
      <c r="MTC59" s="28"/>
      <c r="MTD59" s="28"/>
      <c r="MTE59" s="28"/>
      <c r="MTF59" s="28"/>
      <c r="MTG59" s="28"/>
      <c r="MTH59" s="28"/>
      <c r="MTI59" s="28"/>
      <c r="MTJ59" s="28"/>
      <c r="MTK59" s="28"/>
      <c r="MTL59" s="28"/>
      <c r="MTM59" s="28"/>
      <c r="MTN59" s="28"/>
      <c r="MTO59" s="28"/>
      <c r="MTP59" s="28"/>
      <c r="MTQ59" s="28"/>
      <c r="MTR59" s="28"/>
      <c r="MTS59" s="28"/>
      <c r="MTT59" s="28"/>
      <c r="MTU59" s="28"/>
      <c r="MTV59" s="28"/>
      <c r="MTW59" s="28"/>
      <c r="MTX59" s="28"/>
      <c r="MTY59" s="28"/>
      <c r="MTZ59" s="28"/>
      <c r="MUA59" s="28"/>
      <c r="MUB59" s="28"/>
      <c r="MUC59" s="28"/>
      <c r="MUD59" s="28"/>
      <c r="MUE59" s="28"/>
      <c r="MUF59" s="28"/>
      <c r="MUG59" s="28"/>
      <c r="MUH59" s="28"/>
      <c r="MUI59" s="28"/>
      <c r="MUJ59" s="28"/>
      <c r="MUK59" s="28"/>
      <c r="MUL59" s="28"/>
      <c r="MUM59" s="28"/>
      <c r="MUN59" s="28"/>
      <c r="MUO59" s="28"/>
      <c r="MUP59" s="28"/>
      <c r="MUQ59" s="28"/>
      <c r="MUR59" s="28"/>
      <c r="MUS59" s="28"/>
      <c r="MUT59" s="28"/>
      <c r="MUU59" s="28"/>
      <c r="MUV59" s="28"/>
      <c r="MUW59" s="28"/>
      <c r="MUX59" s="28"/>
      <c r="MUY59" s="28"/>
      <c r="MUZ59" s="28"/>
      <c r="MVA59" s="28"/>
      <c r="MVB59" s="28"/>
      <c r="MVC59" s="28"/>
      <c r="MVD59" s="28"/>
      <c r="MVE59" s="28"/>
      <c r="MVF59" s="28"/>
      <c r="MVG59" s="28"/>
      <c r="MVH59" s="28"/>
      <c r="MVI59" s="28"/>
      <c r="MVJ59" s="28"/>
      <c r="MVK59" s="28"/>
      <c r="MVL59" s="28"/>
      <c r="MVM59" s="28"/>
      <c r="MVN59" s="28"/>
      <c r="MVO59" s="28"/>
      <c r="MVP59" s="28"/>
      <c r="MVQ59" s="28"/>
      <c r="MVR59" s="28"/>
      <c r="MVS59" s="28"/>
      <c r="MVT59" s="28"/>
      <c r="MVU59" s="28"/>
      <c r="MVV59" s="28"/>
      <c r="MVW59" s="28"/>
      <c r="MVX59" s="28"/>
      <c r="MVY59" s="28"/>
      <c r="MVZ59" s="28"/>
      <c r="MWA59" s="28"/>
      <c r="MWB59" s="28"/>
      <c r="MWC59" s="28"/>
      <c r="MWD59" s="28"/>
      <c r="MWE59" s="28"/>
      <c r="MWF59" s="28"/>
      <c r="MWG59" s="28"/>
      <c r="MWH59" s="28"/>
      <c r="MWI59" s="28"/>
      <c r="MWJ59" s="28"/>
      <c r="MWK59" s="28"/>
      <c r="MWL59" s="28"/>
      <c r="MWM59" s="28"/>
      <c r="MWN59" s="28"/>
      <c r="MWO59" s="28"/>
      <c r="MWP59" s="28"/>
      <c r="MWQ59" s="28"/>
      <c r="MWR59" s="28"/>
      <c r="MWS59" s="28"/>
      <c r="MWT59" s="28"/>
      <c r="MWU59" s="28"/>
      <c r="MWV59" s="28"/>
      <c r="MWW59" s="28"/>
      <c r="MWX59" s="28"/>
      <c r="MWY59" s="28"/>
      <c r="MWZ59" s="28"/>
      <c r="MXA59" s="28"/>
      <c r="MXB59" s="28"/>
      <c r="MXC59" s="28"/>
      <c r="MXD59" s="28"/>
      <c r="MXE59" s="28"/>
      <c r="MXF59" s="28"/>
      <c r="MXG59" s="28"/>
      <c r="MXH59" s="28"/>
      <c r="MXI59" s="28"/>
      <c r="MXJ59" s="28"/>
      <c r="MXK59" s="28"/>
      <c r="MXL59" s="28"/>
      <c r="MXM59" s="28"/>
      <c r="MXN59" s="28"/>
      <c r="MXO59" s="28"/>
      <c r="MXP59" s="28"/>
      <c r="MXQ59" s="28"/>
      <c r="MXR59" s="28"/>
      <c r="MXS59" s="28"/>
      <c r="MXT59" s="28"/>
      <c r="MXU59" s="28"/>
      <c r="MXV59" s="28"/>
      <c r="MXW59" s="28"/>
      <c r="MXX59" s="28"/>
      <c r="MXY59" s="28"/>
      <c r="MXZ59" s="28"/>
      <c r="MYA59" s="28"/>
      <c r="MYB59" s="28"/>
      <c r="MYC59" s="28"/>
      <c r="MYD59" s="28"/>
      <c r="MYE59" s="28"/>
      <c r="MYF59" s="28"/>
      <c r="MYG59" s="28"/>
      <c r="MYH59" s="28"/>
      <c r="MYI59" s="28"/>
      <c r="MYJ59" s="28"/>
      <c r="MYK59" s="28"/>
      <c r="MYL59" s="28"/>
      <c r="MYM59" s="28"/>
      <c r="MYN59" s="28"/>
      <c r="MYO59" s="28"/>
      <c r="MYP59" s="28"/>
      <c r="MYQ59" s="28"/>
      <c r="MYR59" s="28"/>
      <c r="MYS59" s="28"/>
      <c r="MYT59" s="28"/>
      <c r="MYU59" s="28"/>
      <c r="MYV59" s="28"/>
      <c r="MYW59" s="28"/>
      <c r="MYX59" s="28"/>
      <c r="MYY59" s="28"/>
      <c r="MYZ59" s="28"/>
      <c r="MZA59" s="28"/>
      <c r="MZB59" s="28"/>
      <c r="MZC59" s="28"/>
      <c r="MZD59" s="28"/>
      <c r="MZE59" s="28"/>
      <c r="MZF59" s="28"/>
      <c r="MZG59" s="28"/>
      <c r="MZH59" s="28"/>
      <c r="MZI59" s="28"/>
      <c r="MZJ59" s="28"/>
      <c r="MZK59" s="28"/>
      <c r="MZL59" s="28"/>
      <c r="MZM59" s="28"/>
      <c r="MZN59" s="28"/>
      <c r="MZO59" s="28"/>
      <c r="MZP59" s="28"/>
      <c r="MZQ59" s="28"/>
      <c r="MZR59" s="28"/>
      <c r="MZS59" s="28"/>
      <c r="MZT59" s="28"/>
      <c r="MZU59" s="28"/>
      <c r="MZV59" s="28"/>
      <c r="MZW59" s="28"/>
      <c r="MZX59" s="28"/>
      <c r="MZY59" s="28"/>
      <c r="MZZ59" s="28"/>
      <c r="NAA59" s="28"/>
      <c r="NAB59" s="28"/>
      <c r="NAC59" s="28"/>
      <c r="NAD59" s="28"/>
      <c r="NAE59" s="28"/>
      <c r="NAF59" s="28"/>
      <c r="NAG59" s="28"/>
      <c r="NAH59" s="28"/>
      <c r="NAI59" s="28"/>
      <c r="NAJ59" s="28"/>
      <c r="NAK59" s="28"/>
      <c r="NAL59" s="28"/>
      <c r="NAM59" s="28"/>
      <c r="NAN59" s="28"/>
      <c r="NAO59" s="28"/>
      <c r="NAP59" s="28"/>
      <c r="NAQ59" s="28"/>
      <c r="NAR59" s="28"/>
      <c r="NAS59" s="28"/>
      <c r="NAT59" s="28"/>
      <c r="NAU59" s="28"/>
      <c r="NAV59" s="28"/>
      <c r="NAW59" s="28"/>
      <c r="NAX59" s="28"/>
      <c r="NAY59" s="28"/>
      <c r="NAZ59" s="28"/>
      <c r="NBA59" s="28"/>
      <c r="NBB59" s="28"/>
      <c r="NBC59" s="28"/>
      <c r="NBD59" s="28"/>
      <c r="NBE59" s="28"/>
      <c r="NBF59" s="28"/>
      <c r="NBG59" s="28"/>
      <c r="NBH59" s="28"/>
      <c r="NBI59" s="28"/>
      <c r="NBJ59" s="28"/>
      <c r="NBK59" s="28"/>
      <c r="NBL59" s="28"/>
      <c r="NBM59" s="28"/>
      <c r="NBN59" s="28"/>
      <c r="NBO59" s="28"/>
      <c r="NBP59" s="28"/>
      <c r="NBQ59" s="28"/>
      <c r="NBR59" s="28"/>
      <c r="NBS59" s="28"/>
      <c r="NBT59" s="28"/>
      <c r="NBU59" s="28"/>
      <c r="NBV59" s="28"/>
      <c r="NBW59" s="28"/>
      <c r="NBX59" s="28"/>
      <c r="NBY59" s="28"/>
      <c r="NBZ59" s="28"/>
      <c r="NCA59" s="28"/>
      <c r="NCB59" s="28"/>
      <c r="NCC59" s="28"/>
      <c r="NCD59" s="28"/>
      <c r="NCE59" s="28"/>
      <c r="NCF59" s="28"/>
      <c r="NCG59" s="28"/>
      <c r="NCH59" s="28"/>
      <c r="NCI59" s="28"/>
      <c r="NCJ59" s="28"/>
      <c r="NCK59" s="28"/>
      <c r="NCL59" s="28"/>
      <c r="NCM59" s="28"/>
      <c r="NCN59" s="28"/>
      <c r="NCO59" s="28"/>
      <c r="NCP59" s="28"/>
      <c r="NCQ59" s="28"/>
      <c r="NCR59" s="28"/>
      <c r="NCS59" s="28"/>
      <c r="NCT59" s="28"/>
      <c r="NCU59" s="28"/>
      <c r="NCV59" s="28"/>
      <c r="NCW59" s="28"/>
      <c r="NCX59" s="28"/>
      <c r="NCY59" s="28"/>
      <c r="NCZ59" s="28"/>
      <c r="NDA59" s="28"/>
      <c r="NDB59" s="28"/>
      <c r="NDC59" s="28"/>
      <c r="NDD59" s="28"/>
      <c r="NDE59" s="28"/>
      <c r="NDF59" s="28"/>
      <c r="NDG59" s="28"/>
      <c r="NDH59" s="28"/>
      <c r="NDI59" s="28"/>
      <c r="NDJ59" s="28"/>
      <c r="NDK59" s="28"/>
      <c r="NDL59" s="28"/>
      <c r="NDM59" s="28"/>
      <c r="NDN59" s="28"/>
      <c r="NDO59" s="28"/>
      <c r="NDP59" s="28"/>
      <c r="NDQ59" s="28"/>
      <c r="NDR59" s="28"/>
      <c r="NDS59" s="28"/>
      <c r="NDT59" s="28"/>
      <c r="NDU59" s="28"/>
      <c r="NDV59" s="28"/>
      <c r="NDW59" s="28"/>
      <c r="NDX59" s="28"/>
      <c r="NDY59" s="28"/>
      <c r="NDZ59" s="28"/>
      <c r="NEA59" s="28"/>
      <c r="NEB59" s="28"/>
      <c r="NEC59" s="28"/>
      <c r="NED59" s="28"/>
      <c r="NEE59" s="28"/>
      <c r="NEF59" s="28"/>
      <c r="NEG59" s="28"/>
      <c r="NEH59" s="28"/>
      <c r="NEI59" s="28"/>
      <c r="NEJ59" s="28"/>
      <c r="NEK59" s="28"/>
      <c r="NEL59" s="28"/>
      <c r="NEM59" s="28"/>
      <c r="NEN59" s="28"/>
      <c r="NEO59" s="28"/>
      <c r="NEP59" s="28"/>
      <c r="NEQ59" s="28"/>
      <c r="NER59" s="28"/>
      <c r="NES59" s="28"/>
      <c r="NET59" s="28"/>
      <c r="NEU59" s="28"/>
      <c r="NEV59" s="28"/>
      <c r="NEW59" s="28"/>
      <c r="NEX59" s="28"/>
      <c r="NEY59" s="28"/>
      <c r="NEZ59" s="28"/>
      <c r="NFA59" s="28"/>
      <c r="NFB59" s="28"/>
      <c r="NFC59" s="28"/>
      <c r="NFD59" s="28"/>
      <c r="NFE59" s="28"/>
      <c r="NFF59" s="28"/>
      <c r="NFG59" s="28"/>
      <c r="NFH59" s="28"/>
      <c r="NFI59" s="28"/>
      <c r="NFJ59" s="28"/>
      <c r="NFK59" s="28"/>
      <c r="NFL59" s="28"/>
      <c r="NFM59" s="28"/>
      <c r="NFN59" s="28"/>
      <c r="NFO59" s="28"/>
      <c r="NFP59" s="28"/>
      <c r="NFQ59" s="28"/>
      <c r="NFR59" s="28"/>
      <c r="NFS59" s="28"/>
      <c r="NFT59" s="28"/>
      <c r="NFU59" s="28"/>
      <c r="NFV59" s="28"/>
      <c r="NFW59" s="28"/>
      <c r="NFX59" s="28"/>
      <c r="NFY59" s="28"/>
      <c r="NFZ59" s="28"/>
      <c r="NGA59" s="28"/>
      <c r="NGB59" s="28"/>
      <c r="NGC59" s="28"/>
      <c r="NGD59" s="28"/>
      <c r="NGE59" s="28"/>
      <c r="NGF59" s="28"/>
      <c r="NGG59" s="28"/>
      <c r="NGH59" s="28"/>
      <c r="NGI59" s="28"/>
      <c r="NGJ59" s="28"/>
      <c r="NGK59" s="28"/>
      <c r="NGL59" s="28"/>
      <c r="NGM59" s="28"/>
      <c r="NGN59" s="28"/>
      <c r="NGO59" s="28"/>
      <c r="NGP59" s="28"/>
      <c r="NGQ59" s="28"/>
      <c r="NGR59" s="28"/>
      <c r="NGS59" s="28"/>
      <c r="NGT59" s="28"/>
      <c r="NGU59" s="28"/>
      <c r="NGV59" s="28"/>
      <c r="NGW59" s="28"/>
      <c r="NGX59" s="28"/>
      <c r="NGY59" s="28"/>
      <c r="NGZ59" s="28"/>
      <c r="NHA59" s="28"/>
      <c r="NHB59" s="28"/>
      <c r="NHC59" s="28"/>
      <c r="NHD59" s="28"/>
      <c r="NHE59" s="28"/>
      <c r="NHF59" s="28"/>
      <c r="NHG59" s="28"/>
      <c r="NHH59" s="28"/>
      <c r="NHI59" s="28"/>
      <c r="NHJ59" s="28"/>
      <c r="NHK59" s="28"/>
      <c r="NHL59" s="28"/>
      <c r="NHM59" s="28"/>
      <c r="NHN59" s="28"/>
      <c r="NHO59" s="28"/>
      <c r="NHP59" s="28"/>
      <c r="NHQ59" s="28"/>
      <c r="NHR59" s="28"/>
      <c r="NHS59" s="28"/>
      <c r="NHT59" s="28"/>
      <c r="NHU59" s="28"/>
      <c r="NHV59" s="28"/>
      <c r="NHW59" s="28"/>
      <c r="NHX59" s="28"/>
      <c r="NHY59" s="28"/>
      <c r="NHZ59" s="28"/>
      <c r="NIA59" s="28"/>
      <c r="NIB59" s="28"/>
      <c r="NIC59" s="28"/>
      <c r="NID59" s="28"/>
      <c r="NIE59" s="28"/>
      <c r="NIF59" s="28"/>
      <c r="NIG59" s="28"/>
      <c r="NIH59" s="28"/>
      <c r="NII59" s="28"/>
      <c r="NIJ59" s="28"/>
      <c r="NIK59" s="28"/>
      <c r="NIL59" s="28"/>
      <c r="NIM59" s="28"/>
      <c r="NIN59" s="28"/>
      <c r="NIO59" s="28"/>
      <c r="NIP59" s="28"/>
      <c r="NIQ59" s="28"/>
      <c r="NIR59" s="28"/>
      <c r="NIS59" s="28"/>
      <c r="NIT59" s="28"/>
      <c r="NIU59" s="28"/>
      <c r="NIV59" s="28"/>
      <c r="NIW59" s="28"/>
      <c r="NIX59" s="28"/>
      <c r="NIY59" s="28"/>
      <c r="NIZ59" s="28"/>
      <c r="NJA59" s="28"/>
      <c r="NJB59" s="28"/>
      <c r="NJC59" s="28"/>
      <c r="NJD59" s="28"/>
      <c r="NJE59" s="28"/>
      <c r="NJF59" s="28"/>
      <c r="NJG59" s="28"/>
      <c r="NJH59" s="28"/>
      <c r="NJI59" s="28"/>
      <c r="NJJ59" s="28"/>
      <c r="NJK59" s="28"/>
      <c r="NJL59" s="28"/>
      <c r="NJM59" s="28"/>
      <c r="NJN59" s="28"/>
      <c r="NJO59" s="28"/>
      <c r="NJP59" s="28"/>
      <c r="NJQ59" s="28"/>
      <c r="NJR59" s="28"/>
      <c r="NJS59" s="28"/>
      <c r="NJT59" s="28"/>
      <c r="NJU59" s="28"/>
      <c r="NJV59" s="28"/>
      <c r="NJW59" s="28"/>
      <c r="NJX59" s="28"/>
      <c r="NJY59" s="28"/>
      <c r="NJZ59" s="28"/>
      <c r="NKA59" s="28"/>
      <c r="NKB59" s="28"/>
      <c r="NKC59" s="28"/>
      <c r="NKD59" s="28"/>
      <c r="NKE59" s="28"/>
      <c r="NKF59" s="28"/>
      <c r="NKG59" s="28"/>
      <c r="NKH59" s="28"/>
      <c r="NKI59" s="28"/>
      <c r="NKJ59" s="28"/>
      <c r="NKK59" s="28"/>
      <c r="NKL59" s="28"/>
      <c r="NKM59" s="28"/>
      <c r="NKN59" s="28"/>
      <c r="NKO59" s="28"/>
      <c r="NKP59" s="28"/>
      <c r="NKQ59" s="28"/>
      <c r="NKR59" s="28"/>
      <c r="NKS59" s="28"/>
      <c r="NKT59" s="28"/>
      <c r="NKU59" s="28"/>
      <c r="NKV59" s="28"/>
      <c r="NKW59" s="28"/>
      <c r="NKX59" s="28"/>
      <c r="NKY59" s="28"/>
      <c r="NKZ59" s="28"/>
      <c r="NLA59" s="28"/>
      <c r="NLB59" s="28"/>
      <c r="NLC59" s="28"/>
      <c r="NLD59" s="28"/>
      <c r="NLE59" s="28"/>
      <c r="NLF59" s="28"/>
      <c r="NLG59" s="28"/>
      <c r="NLH59" s="28"/>
      <c r="NLI59" s="28"/>
      <c r="NLJ59" s="28"/>
      <c r="NLK59" s="28"/>
      <c r="NLL59" s="28"/>
      <c r="NLM59" s="28"/>
      <c r="NLN59" s="28"/>
      <c r="NLO59" s="28"/>
      <c r="NLP59" s="28"/>
      <c r="NLQ59" s="28"/>
      <c r="NLR59" s="28"/>
      <c r="NLS59" s="28"/>
      <c r="NLT59" s="28"/>
      <c r="NLU59" s="28"/>
      <c r="NLV59" s="28"/>
      <c r="NLW59" s="28"/>
      <c r="NLX59" s="28"/>
      <c r="NLY59" s="28"/>
      <c r="NLZ59" s="28"/>
      <c r="NMA59" s="28"/>
      <c r="NMB59" s="28"/>
      <c r="NMC59" s="28"/>
      <c r="NMD59" s="28"/>
      <c r="NME59" s="28"/>
      <c r="NMF59" s="28"/>
      <c r="NMG59" s="28"/>
      <c r="NMH59" s="28"/>
      <c r="NMI59" s="28"/>
      <c r="NMJ59" s="28"/>
      <c r="NMK59" s="28"/>
      <c r="NML59" s="28"/>
      <c r="NMM59" s="28"/>
      <c r="NMN59" s="28"/>
      <c r="NMO59" s="28"/>
      <c r="NMP59" s="28"/>
      <c r="NMQ59" s="28"/>
      <c r="NMR59" s="28"/>
      <c r="NMS59" s="28"/>
      <c r="NMT59" s="28"/>
      <c r="NMU59" s="28"/>
      <c r="NMV59" s="28"/>
      <c r="NMW59" s="28"/>
      <c r="NMX59" s="28"/>
      <c r="NMY59" s="28"/>
      <c r="NMZ59" s="28"/>
      <c r="NNA59" s="28"/>
      <c r="NNB59" s="28"/>
      <c r="NNC59" s="28"/>
      <c r="NND59" s="28"/>
      <c r="NNE59" s="28"/>
      <c r="NNF59" s="28"/>
      <c r="NNG59" s="28"/>
      <c r="NNH59" s="28"/>
      <c r="NNI59" s="28"/>
      <c r="NNJ59" s="28"/>
      <c r="NNK59" s="28"/>
      <c r="NNL59" s="28"/>
      <c r="NNM59" s="28"/>
      <c r="NNN59" s="28"/>
      <c r="NNO59" s="28"/>
      <c r="NNP59" s="28"/>
      <c r="NNQ59" s="28"/>
      <c r="NNR59" s="28"/>
      <c r="NNS59" s="28"/>
      <c r="NNT59" s="28"/>
      <c r="NNU59" s="28"/>
      <c r="NNV59" s="28"/>
      <c r="NNW59" s="28"/>
      <c r="NNX59" s="28"/>
      <c r="NNY59" s="28"/>
      <c r="NNZ59" s="28"/>
      <c r="NOA59" s="28"/>
      <c r="NOB59" s="28"/>
      <c r="NOC59" s="28"/>
      <c r="NOD59" s="28"/>
      <c r="NOE59" s="28"/>
      <c r="NOF59" s="28"/>
      <c r="NOG59" s="28"/>
      <c r="NOH59" s="28"/>
      <c r="NOI59" s="28"/>
      <c r="NOJ59" s="28"/>
      <c r="NOK59" s="28"/>
      <c r="NOL59" s="28"/>
      <c r="NOM59" s="28"/>
      <c r="NON59" s="28"/>
      <c r="NOO59" s="28"/>
      <c r="NOP59" s="28"/>
      <c r="NOQ59" s="28"/>
      <c r="NOR59" s="28"/>
      <c r="NOS59" s="28"/>
      <c r="NOT59" s="28"/>
      <c r="NOU59" s="28"/>
      <c r="NOV59" s="28"/>
      <c r="NOW59" s="28"/>
      <c r="NOX59" s="28"/>
      <c r="NOY59" s="28"/>
      <c r="NOZ59" s="28"/>
      <c r="NPA59" s="28"/>
      <c r="NPB59" s="28"/>
      <c r="NPC59" s="28"/>
      <c r="NPD59" s="28"/>
      <c r="NPE59" s="28"/>
      <c r="NPF59" s="28"/>
      <c r="NPG59" s="28"/>
      <c r="NPH59" s="28"/>
      <c r="NPI59" s="28"/>
      <c r="NPJ59" s="28"/>
      <c r="NPK59" s="28"/>
      <c r="NPL59" s="28"/>
      <c r="NPM59" s="28"/>
      <c r="NPN59" s="28"/>
      <c r="NPO59" s="28"/>
      <c r="NPP59" s="28"/>
      <c r="NPQ59" s="28"/>
      <c r="NPR59" s="28"/>
      <c r="NPS59" s="28"/>
      <c r="NPT59" s="28"/>
      <c r="NPU59" s="28"/>
      <c r="NPV59" s="28"/>
      <c r="NPW59" s="28"/>
      <c r="NPX59" s="28"/>
      <c r="NPY59" s="28"/>
      <c r="NPZ59" s="28"/>
      <c r="NQA59" s="28"/>
      <c r="NQB59" s="28"/>
      <c r="NQC59" s="28"/>
      <c r="NQD59" s="28"/>
      <c r="NQE59" s="28"/>
      <c r="NQF59" s="28"/>
      <c r="NQG59" s="28"/>
      <c r="NQH59" s="28"/>
      <c r="NQI59" s="28"/>
      <c r="NQJ59" s="28"/>
      <c r="NQK59" s="28"/>
      <c r="NQL59" s="28"/>
      <c r="NQM59" s="28"/>
      <c r="NQN59" s="28"/>
      <c r="NQO59" s="28"/>
      <c r="NQP59" s="28"/>
      <c r="NQQ59" s="28"/>
      <c r="NQR59" s="28"/>
      <c r="NQS59" s="28"/>
      <c r="NQT59" s="28"/>
      <c r="NQU59" s="28"/>
      <c r="NQV59" s="28"/>
      <c r="NQW59" s="28"/>
      <c r="NQX59" s="28"/>
      <c r="NQY59" s="28"/>
      <c r="NQZ59" s="28"/>
      <c r="NRA59" s="28"/>
      <c r="NRB59" s="28"/>
      <c r="NRC59" s="28"/>
      <c r="NRD59" s="28"/>
      <c r="NRE59" s="28"/>
      <c r="NRF59" s="28"/>
      <c r="NRG59" s="28"/>
      <c r="NRH59" s="28"/>
      <c r="NRI59" s="28"/>
      <c r="NRJ59" s="28"/>
      <c r="NRK59" s="28"/>
      <c r="NRL59" s="28"/>
      <c r="NRM59" s="28"/>
      <c r="NRN59" s="28"/>
      <c r="NRO59" s="28"/>
      <c r="NRP59" s="28"/>
      <c r="NRQ59" s="28"/>
      <c r="NRR59" s="28"/>
      <c r="NRS59" s="28"/>
      <c r="NRT59" s="28"/>
      <c r="NRU59" s="28"/>
      <c r="NRV59" s="28"/>
      <c r="NRW59" s="28"/>
      <c r="NRX59" s="28"/>
      <c r="NRY59" s="28"/>
      <c r="NRZ59" s="28"/>
      <c r="NSA59" s="28"/>
      <c r="NSB59" s="28"/>
      <c r="NSC59" s="28"/>
      <c r="NSD59" s="28"/>
      <c r="NSE59" s="28"/>
      <c r="NSF59" s="28"/>
      <c r="NSG59" s="28"/>
      <c r="NSH59" s="28"/>
      <c r="NSI59" s="28"/>
      <c r="NSJ59" s="28"/>
      <c r="NSK59" s="28"/>
      <c r="NSL59" s="28"/>
      <c r="NSM59" s="28"/>
      <c r="NSN59" s="28"/>
      <c r="NSO59" s="28"/>
      <c r="NSP59" s="28"/>
      <c r="NSQ59" s="28"/>
      <c r="NSR59" s="28"/>
      <c r="NSS59" s="28"/>
      <c r="NST59" s="28"/>
      <c r="NSU59" s="28"/>
      <c r="NSV59" s="28"/>
      <c r="NSW59" s="28"/>
      <c r="NSX59" s="28"/>
      <c r="NSY59" s="28"/>
      <c r="NSZ59" s="28"/>
      <c r="NTA59" s="28"/>
      <c r="NTB59" s="28"/>
      <c r="NTC59" s="28"/>
      <c r="NTD59" s="28"/>
      <c r="NTE59" s="28"/>
      <c r="NTF59" s="28"/>
      <c r="NTG59" s="28"/>
      <c r="NTH59" s="28"/>
      <c r="NTI59" s="28"/>
      <c r="NTJ59" s="28"/>
      <c r="NTK59" s="28"/>
      <c r="NTL59" s="28"/>
      <c r="NTM59" s="28"/>
      <c r="NTN59" s="28"/>
      <c r="NTO59" s="28"/>
      <c r="NTP59" s="28"/>
      <c r="NTQ59" s="28"/>
      <c r="NTR59" s="28"/>
      <c r="NTS59" s="28"/>
      <c r="NTT59" s="28"/>
      <c r="NTU59" s="28"/>
      <c r="NTV59" s="28"/>
      <c r="NTW59" s="28"/>
      <c r="NTX59" s="28"/>
      <c r="NTY59" s="28"/>
      <c r="NTZ59" s="28"/>
      <c r="NUA59" s="28"/>
      <c r="NUB59" s="28"/>
      <c r="NUC59" s="28"/>
      <c r="NUD59" s="28"/>
      <c r="NUE59" s="28"/>
      <c r="NUF59" s="28"/>
      <c r="NUG59" s="28"/>
      <c r="NUH59" s="28"/>
      <c r="NUI59" s="28"/>
      <c r="NUJ59" s="28"/>
      <c r="NUK59" s="28"/>
      <c r="NUL59" s="28"/>
      <c r="NUM59" s="28"/>
      <c r="NUN59" s="28"/>
      <c r="NUO59" s="28"/>
      <c r="NUP59" s="28"/>
      <c r="NUQ59" s="28"/>
      <c r="NUR59" s="28"/>
      <c r="NUS59" s="28"/>
      <c r="NUT59" s="28"/>
      <c r="NUU59" s="28"/>
      <c r="NUV59" s="28"/>
      <c r="NUW59" s="28"/>
      <c r="NUX59" s="28"/>
      <c r="NUY59" s="28"/>
      <c r="NUZ59" s="28"/>
      <c r="NVA59" s="28"/>
      <c r="NVB59" s="28"/>
      <c r="NVC59" s="28"/>
      <c r="NVD59" s="28"/>
      <c r="NVE59" s="28"/>
      <c r="NVF59" s="28"/>
      <c r="NVG59" s="28"/>
      <c r="NVH59" s="28"/>
      <c r="NVI59" s="28"/>
      <c r="NVJ59" s="28"/>
      <c r="NVK59" s="28"/>
      <c r="NVL59" s="28"/>
      <c r="NVM59" s="28"/>
      <c r="NVN59" s="28"/>
      <c r="NVO59" s="28"/>
      <c r="NVP59" s="28"/>
      <c r="NVQ59" s="28"/>
      <c r="NVR59" s="28"/>
      <c r="NVS59" s="28"/>
      <c r="NVT59" s="28"/>
      <c r="NVU59" s="28"/>
      <c r="NVV59" s="28"/>
      <c r="NVW59" s="28"/>
      <c r="NVX59" s="28"/>
      <c r="NVY59" s="28"/>
      <c r="NVZ59" s="28"/>
      <c r="NWA59" s="28"/>
      <c r="NWB59" s="28"/>
      <c r="NWC59" s="28"/>
      <c r="NWD59" s="28"/>
      <c r="NWE59" s="28"/>
      <c r="NWF59" s="28"/>
      <c r="NWG59" s="28"/>
      <c r="NWH59" s="28"/>
      <c r="NWI59" s="28"/>
      <c r="NWJ59" s="28"/>
      <c r="NWK59" s="28"/>
      <c r="NWL59" s="28"/>
      <c r="NWM59" s="28"/>
      <c r="NWN59" s="28"/>
      <c r="NWO59" s="28"/>
      <c r="NWP59" s="28"/>
      <c r="NWQ59" s="28"/>
      <c r="NWR59" s="28"/>
      <c r="NWS59" s="28"/>
      <c r="NWT59" s="28"/>
      <c r="NWU59" s="28"/>
      <c r="NWV59" s="28"/>
      <c r="NWW59" s="28"/>
      <c r="NWX59" s="28"/>
      <c r="NWY59" s="28"/>
      <c r="NWZ59" s="28"/>
      <c r="NXA59" s="28"/>
      <c r="NXB59" s="28"/>
      <c r="NXC59" s="28"/>
      <c r="NXD59" s="28"/>
      <c r="NXE59" s="28"/>
      <c r="NXF59" s="28"/>
      <c r="NXG59" s="28"/>
      <c r="NXH59" s="28"/>
      <c r="NXI59" s="28"/>
      <c r="NXJ59" s="28"/>
      <c r="NXK59" s="28"/>
      <c r="NXL59" s="28"/>
      <c r="NXM59" s="28"/>
      <c r="NXN59" s="28"/>
      <c r="NXO59" s="28"/>
      <c r="NXP59" s="28"/>
      <c r="NXQ59" s="28"/>
      <c r="NXR59" s="28"/>
      <c r="NXS59" s="28"/>
      <c r="NXT59" s="28"/>
      <c r="NXU59" s="28"/>
      <c r="NXV59" s="28"/>
      <c r="NXW59" s="28"/>
      <c r="NXX59" s="28"/>
      <c r="NXY59" s="28"/>
      <c r="NXZ59" s="28"/>
      <c r="NYA59" s="28"/>
      <c r="NYB59" s="28"/>
      <c r="NYC59" s="28"/>
      <c r="NYD59" s="28"/>
      <c r="NYE59" s="28"/>
      <c r="NYF59" s="28"/>
      <c r="NYG59" s="28"/>
      <c r="NYH59" s="28"/>
      <c r="NYI59" s="28"/>
      <c r="NYJ59" s="28"/>
      <c r="NYK59" s="28"/>
      <c r="NYL59" s="28"/>
      <c r="NYM59" s="28"/>
      <c r="NYN59" s="28"/>
      <c r="NYO59" s="28"/>
      <c r="NYP59" s="28"/>
      <c r="NYQ59" s="28"/>
      <c r="NYR59" s="28"/>
      <c r="NYS59" s="28"/>
      <c r="NYT59" s="28"/>
      <c r="NYU59" s="28"/>
      <c r="NYV59" s="28"/>
      <c r="NYW59" s="28"/>
      <c r="NYX59" s="28"/>
      <c r="NYY59" s="28"/>
      <c r="NYZ59" s="28"/>
      <c r="NZA59" s="28"/>
      <c r="NZB59" s="28"/>
      <c r="NZC59" s="28"/>
      <c r="NZD59" s="28"/>
      <c r="NZE59" s="28"/>
      <c r="NZF59" s="28"/>
      <c r="NZG59" s="28"/>
      <c r="NZH59" s="28"/>
      <c r="NZI59" s="28"/>
      <c r="NZJ59" s="28"/>
      <c r="NZK59" s="28"/>
      <c r="NZL59" s="28"/>
      <c r="NZM59" s="28"/>
      <c r="NZN59" s="28"/>
      <c r="NZO59" s="28"/>
      <c r="NZP59" s="28"/>
      <c r="NZQ59" s="28"/>
      <c r="NZR59" s="28"/>
      <c r="NZS59" s="28"/>
      <c r="NZT59" s="28"/>
      <c r="NZU59" s="28"/>
      <c r="NZV59" s="28"/>
      <c r="NZW59" s="28"/>
      <c r="NZX59" s="28"/>
      <c r="NZY59" s="28"/>
      <c r="NZZ59" s="28"/>
      <c r="OAA59" s="28"/>
      <c r="OAB59" s="28"/>
      <c r="OAC59" s="28"/>
      <c r="OAD59" s="28"/>
      <c r="OAE59" s="28"/>
      <c r="OAF59" s="28"/>
      <c r="OAG59" s="28"/>
      <c r="OAH59" s="28"/>
      <c r="OAI59" s="28"/>
      <c r="OAJ59" s="28"/>
      <c r="OAK59" s="28"/>
      <c r="OAL59" s="28"/>
      <c r="OAM59" s="28"/>
      <c r="OAN59" s="28"/>
      <c r="OAO59" s="28"/>
      <c r="OAP59" s="28"/>
      <c r="OAQ59" s="28"/>
      <c r="OAR59" s="28"/>
      <c r="OAS59" s="28"/>
      <c r="OAT59" s="28"/>
      <c r="OAU59" s="28"/>
      <c r="OAV59" s="28"/>
      <c r="OAW59" s="28"/>
      <c r="OAX59" s="28"/>
      <c r="OAY59" s="28"/>
      <c r="OAZ59" s="28"/>
      <c r="OBA59" s="28"/>
      <c r="OBB59" s="28"/>
      <c r="OBC59" s="28"/>
      <c r="OBD59" s="28"/>
      <c r="OBE59" s="28"/>
      <c r="OBF59" s="28"/>
      <c r="OBG59" s="28"/>
      <c r="OBH59" s="28"/>
      <c r="OBI59" s="28"/>
      <c r="OBJ59" s="28"/>
      <c r="OBK59" s="28"/>
      <c r="OBL59" s="28"/>
      <c r="OBM59" s="28"/>
      <c r="OBN59" s="28"/>
      <c r="OBO59" s="28"/>
      <c r="OBP59" s="28"/>
      <c r="OBQ59" s="28"/>
      <c r="OBR59" s="28"/>
      <c r="OBS59" s="28"/>
      <c r="OBT59" s="28"/>
      <c r="OBU59" s="28"/>
      <c r="OBV59" s="28"/>
      <c r="OBW59" s="28"/>
      <c r="OBX59" s="28"/>
      <c r="OBY59" s="28"/>
      <c r="OBZ59" s="28"/>
      <c r="OCA59" s="28"/>
      <c r="OCB59" s="28"/>
      <c r="OCC59" s="28"/>
      <c r="OCD59" s="28"/>
      <c r="OCE59" s="28"/>
      <c r="OCF59" s="28"/>
      <c r="OCG59" s="28"/>
      <c r="OCH59" s="28"/>
      <c r="OCI59" s="28"/>
      <c r="OCJ59" s="28"/>
      <c r="OCK59" s="28"/>
      <c r="OCL59" s="28"/>
      <c r="OCM59" s="28"/>
      <c r="OCN59" s="28"/>
      <c r="OCO59" s="28"/>
      <c r="OCP59" s="28"/>
      <c r="OCQ59" s="28"/>
      <c r="OCR59" s="28"/>
      <c r="OCS59" s="28"/>
      <c r="OCT59" s="28"/>
      <c r="OCU59" s="28"/>
      <c r="OCV59" s="28"/>
      <c r="OCW59" s="28"/>
      <c r="OCX59" s="28"/>
      <c r="OCY59" s="28"/>
      <c r="OCZ59" s="28"/>
      <c r="ODA59" s="28"/>
      <c r="ODB59" s="28"/>
      <c r="ODC59" s="28"/>
      <c r="ODD59" s="28"/>
      <c r="ODE59" s="28"/>
      <c r="ODF59" s="28"/>
      <c r="ODG59" s="28"/>
      <c r="ODH59" s="28"/>
      <c r="ODI59" s="28"/>
      <c r="ODJ59" s="28"/>
      <c r="ODK59" s="28"/>
      <c r="ODL59" s="28"/>
      <c r="ODM59" s="28"/>
      <c r="ODN59" s="28"/>
      <c r="ODO59" s="28"/>
      <c r="ODP59" s="28"/>
      <c r="ODQ59" s="28"/>
      <c r="ODR59" s="28"/>
      <c r="ODS59" s="28"/>
      <c r="ODT59" s="28"/>
      <c r="ODU59" s="28"/>
      <c r="ODV59" s="28"/>
      <c r="ODW59" s="28"/>
      <c r="ODX59" s="28"/>
      <c r="ODY59" s="28"/>
      <c r="ODZ59" s="28"/>
      <c r="OEA59" s="28"/>
      <c r="OEB59" s="28"/>
      <c r="OEC59" s="28"/>
      <c r="OED59" s="28"/>
      <c r="OEE59" s="28"/>
      <c r="OEF59" s="28"/>
      <c r="OEG59" s="28"/>
      <c r="OEH59" s="28"/>
      <c r="OEI59" s="28"/>
      <c r="OEJ59" s="28"/>
      <c r="OEK59" s="28"/>
      <c r="OEL59" s="28"/>
      <c r="OEM59" s="28"/>
      <c r="OEN59" s="28"/>
      <c r="OEO59" s="28"/>
      <c r="OEP59" s="28"/>
      <c r="OEQ59" s="28"/>
      <c r="OER59" s="28"/>
      <c r="OES59" s="28"/>
      <c r="OET59" s="28"/>
      <c r="OEU59" s="28"/>
      <c r="OEV59" s="28"/>
      <c r="OEW59" s="28"/>
      <c r="OEX59" s="28"/>
      <c r="OEY59" s="28"/>
      <c r="OEZ59" s="28"/>
      <c r="OFA59" s="28"/>
      <c r="OFB59" s="28"/>
      <c r="OFC59" s="28"/>
      <c r="OFD59" s="28"/>
      <c r="OFE59" s="28"/>
      <c r="OFF59" s="28"/>
      <c r="OFG59" s="28"/>
      <c r="OFH59" s="28"/>
      <c r="OFI59" s="28"/>
      <c r="OFJ59" s="28"/>
      <c r="OFK59" s="28"/>
      <c r="OFL59" s="28"/>
      <c r="OFM59" s="28"/>
      <c r="OFN59" s="28"/>
      <c r="OFO59" s="28"/>
      <c r="OFP59" s="28"/>
      <c r="OFQ59" s="28"/>
      <c r="OFR59" s="28"/>
      <c r="OFS59" s="28"/>
      <c r="OFT59" s="28"/>
      <c r="OFU59" s="28"/>
      <c r="OFV59" s="28"/>
      <c r="OFW59" s="28"/>
      <c r="OFX59" s="28"/>
      <c r="OFY59" s="28"/>
      <c r="OFZ59" s="28"/>
      <c r="OGA59" s="28"/>
      <c r="OGB59" s="28"/>
      <c r="OGC59" s="28"/>
      <c r="OGD59" s="28"/>
      <c r="OGE59" s="28"/>
      <c r="OGF59" s="28"/>
      <c r="OGG59" s="28"/>
      <c r="OGH59" s="28"/>
      <c r="OGI59" s="28"/>
      <c r="OGJ59" s="28"/>
      <c r="OGK59" s="28"/>
      <c r="OGL59" s="28"/>
      <c r="OGM59" s="28"/>
      <c r="OGN59" s="28"/>
      <c r="OGO59" s="28"/>
      <c r="OGP59" s="28"/>
      <c r="OGQ59" s="28"/>
      <c r="OGR59" s="28"/>
      <c r="OGS59" s="28"/>
      <c r="OGT59" s="28"/>
      <c r="OGU59" s="28"/>
      <c r="OGV59" s="28"/>
      <c r="OGW59" s="28"/>
      <c r="OGX59" s="28"/>
      <c r="OGY59" s="28"/>
      <c r="OGZ59" s="28"/>
      <c r="OHA59" s="28"/>
      <c r="OHB59" s="28"/>
      <c r="OHC59" s="28"/>
      <c r="OHD59" s="28"/>
      <c r="OHE59" s="28"/>
      <c r="OHF59" s="28"/>
      <c r="OHG59" s="28"/>
      <c r="OHH59" s="28"/>
      <c r="OHI59" s="28"/>
      <c r="OHJ59" s="28"/>
      <c r="OHK59" s="28"/>
      <c r="OHL59" s="28"/>
      <c r="OHM59" s="28"/>
      <c r="OHN59" s="28"/>
      <c r="OHO59" s="28"/>
      <c r="OHP59" s="28"/>
      <c r="OHQ59" s="28"/>
      <c r="OHR59" s="28"/>
      <c r="OHS59" s="28"/>
      <c r="OHT59" s="28"/>
      <c r="OHU59" s="28"/>
      <c r="OHV59" s="28"/>
      <c r="OHW59" s="28"/>
      <c r="OHX59" s="28"/>
      <c r="OHY59" s="28"/>
      <c r="OHZ59" s="28"/>
      <c r="OIA59" s="28"/>
      <c r="OIB59" s="28"/>
      <c r="OIC59" s="28"/>
      <c r="OID59" s="28"/>
      <c r="OIE59" s="28"/>
      <c r="OIF59" s="28"/>
      <c r="OIG59" s="28"/>
      <c r="OIH59" s="28"/>
      <c r="OII59" s="28"/>
      <c r="OIJ59" s="28"/>
      <c r="OIK59" s="28"/>
      <c r="OIL59" s="28"/>
      <c r="OIM59" s="28"/>
      <c r="OIN59" s="28"/>
      <c r="OIO59" s="28"/>
      <c r="OIP59" s="28"/>
      <c r="OIQ59" s="28"/>
      <c r="OIR59" s="28"/>
      <c r="OIS59" s="28"/>
      <c r="OIT59" s="28"/>
      <c r="OIU59" s="28"/>
      <c r="OIV59" s="28"/>
      <c r="OIW59" s="28"/>
      <c r="OIX59" s="28"/>
      <c r="OIY59" s="28"/>
      <c r="OIZ59" s="28"/>
      <c r="OJA59" s="28"/>
      <c r="OJB59" s="28"/>
      <c r="OJC59" s="28"/>
      <c r="OJD59" s="28"/>
      <c r="OJE59" s="28"/>
      <c r="OJF59" s="28"/>
      <c r="OJG59" s="28"/>
      <c r="OJH59" s="28"/>
      <c r="OJI59" s="28"/>
      <c r="OJJ59" s="28"/>
      <c r="OJK59" s="28"/>
      <c r="OJL59" s="28"/>
      <c r="OJM59" s="28"/>
      <c r="OJN59" s="28"/>
      <c r="OJO59" s="28"/>
      <c r="OJP59" s="28"/>
      <c r="OJQ59" s="28"/>
      <c r="OJR59" s="28"/>
      <c r="OJS59" s="28"/>
      <c r="OJT59" s="28"/>
      <c r="OJU59" s="28"/>
      <c r="OJV59" s="28"/>
      <c r="OJW59" s="28"/>
      <c r="OJX59" s="28"/>
      <c r="OJY59" s="28"/>
      <c r="OJZ59" s="28"/>
      <c r="OKA59" s="28"/>
      <c r="OKB59" s="28"/>
      <c r="OKC59" s="28"/>
      <c r="OKD59" s="28"/>
      <c r="OKE59" s="28"/>
      <c r="OKF59" s="28"/>
      <c r="OKG59" s="28"/>
      <c r="OKH59" s="28"/>
      <c r="OKI59" s="28"/>
      <c r="OKJ59" s="28"/>
      <c r="OKK59" s="28"/>
      <c r="OKL59" s="28"/>
      <c r="OKM59" s="28"/>
      <c r="OKN59" s="28"/>
      <c r="OKO59" s="28"/>
      <c r="OKP59" s="28"/>
      <c r="OKQ59" s="28"/>
      <c r="OKR59" s="28"/>
      <c r="OKS59" s="28"/>
      <c r="OKT59" s="28"/>
      <c r="OKU59" s="28"/>
      <c r="OKV59" s="28"/>
      <c r="OKW59" s="28"/>
      <c r="OKX59" s="28"/>
      <c r="OKY59" s="28"/>
      <c r="OKZ59" s="28"/>
      <c r="OLA59" s="28"/>
      <c r="OLB59" s="28"/>
      <c r="OLC59" s="28"/>
      <c r="OLD59" s="28"/>
      <c r="OLE59" s="28"/>
      <c r="OLF59" s="28"/>
      <c r="OLG59" s="28"/>
      <c r="OLH59" s="28"/>
      <c r="OLI59" s="28"/>
      <c r="OLJ59" s="28"/>
      <c r="OLK59" s="28"/>
      <c r="OLL59" s="28"/>
      <c r="OLM59" s="28"/>
      <c r="OLN59" s="28"/>
      <c r="OLO59" s="28"/>
      <c r="OLP59" s="28"/>
      <c r="OLQ59" s="28"/>
      <c r="OLR59" s="28"/>
      <c r="OLS59" s="28"/>
      <c r="OLT59" s="28"/>
      <c r="OLU59" s="28"/>
      <c r="OLV59" s="28"/>
      <c r="OLW59" s="28"/>
      <c r="OLX59" s="28"/>
      <c r="OLY59" s="28"/>
      <c r="OLZ59" s="28"/>
      <c r="OMA59" s="28"/>
      <c r="OMB59" s="28"/>
      <c r="OMC59" s="28"/>
      <c r="OMD59" s="28"/>
      <c r="OME59" s="28"/>
      <c r="OMF59" s="28"/>
      <c r="OMG59" s="28"/>
      <c r="OMH59" s="28"/>
      <c r="OMI59" s="28"/>
      <c r="OMJ59" s="28"/>
      <c r="OMK59" s="28"/>
      <c r="OML59" s="28"/>
      <c r="OMM59" s="28"/>
      <c r="OMN59" s="28"/>
      <c r="OMO59" s="28"/>
      <c r="OMP59" s="28"/>
      <c r="OMQ59" s="28"/>
      <c r="OMR59" s="28"/>
      <c r="OMS59" s="28"/>
      <c r="OMT59" s="28"/>
      <c r="OMU59" s="28"/>
      <c r="OMV59" s="28"/>
      <c r="OMW59" s="28"/>
      <c r="OMX59" s="28"/>
      <c r="OMY59" s="28"/>
      <c r="OMZ59" s="28"/>
      <c r="ONA59" s="28"/>
      <c r="ONB59" s="28"/>
      <c r="ONC59" s="28"/>
      <c r="OND59" s="28"/>
      <c r="ONE59" s="28"/>
      <c r="ONF59" s="28"/>
      <c r="ONG59" s="28"/>
      <c r="ONH59" s="28"/>
      <c r="ONI59" s="28"/>
      <c r="ONJ59" s="28"/>
      <c r="ONK59" s="28"/>
      <c r="ONL59" s="28"/>
      <c r="ONM59" s="28"/>
      <c r="ONN59" s="28"/>
      <c r="ONO59" s="28"/>
      <c r="ONP59" s="28"/>
      <c r="ONQ59" s="28"/>
      <c r="ONR59" s="28"/>
      <c r="ONS59" s="28"/>
      <c r="ONT59" s="28"/>
      <c r="ONU59" s="28"/>
      <c r="ONV59" s="28"/>
      <c r="ONW59" s="28"/>
      <c r="ONX59" s="28"/>
      <c r="ONY59" s="28"/>
      <c r="ONZ59" s="28"/>
      <c r="OOA59" s="28"/>
      <c r="OOB59" s="28"/>
      <c r="OOC59" s="28"/>
      <c r="OOD59" s="28"/>
      <c r="OOE59" s="28"/>
      <c r="OOF59" s="28"/>
      <c r="OOG59" s="28"/>
      <c r="OOH59" s="28"/>
      <c r="OOI59" s="28"/>
      <c r="OOJ59" s="28"/>
      <c r="OOK59" s="28"/>
      <c r="OOL59" s="28"/>
      <c r="OOM59" s="28"/>
      <c r="OON59" s="28"/>
      <c r="OOO59" s="28"/>
      <c r="OOP59" s="28"/>
      <c r="OOQ59" s="28"/>
      <c r="OOR59" s="28"/>
      <c r="OOS59" s="28"/>
      <c r="OOT59" s="28"/>
      <c r="OOU59" s="28"/>
      <c r="OOV59" s="28"/>
      <c r="OOW59" s="28"/>
      <c r="OOX59" s="28"/>
      <c r="OOY59" s="28"/>
      <c r="OOZ59" s="28"/>
      <c r="OPA59" s="28"/>
      <c r="OPB59" s="28"/>
      <c r="OPC59" s="28"/>
      <c r="OPD59" s="28"/>
      <c r="OPE59" s="28"/>
      <c r="OPF59" s="28"/>
      <c r="OPG59" s="28"/>
      <c r="OPH59" s="28"/>
      <c r="OPI59" s="28"/>
      <c r="OPJ59" s="28"/>
      <c r="OPK59" s="28"/>
      <c r="OPL59" s="28"/>
      <c r="OPM59" s="28"/>
      <c r="OPN59" s="28"/>
      <c r="OPO59" s="28"/>
      <c r="OPP59" s="28"/>
      <c r="OPQ59" s="28"/>
      <c r="OPR59" s="28"/>
      <c r="OPS59" s="28"/>
      <c r="OPT59" s="28"/>
      <c r="OPU59" s="28"/>
      <c r="OPV59" s="28"/>
      <c r="OPW59" s="28"/>
      <c r="OPX59" s="28"/>
      <c r="OPY59" s="28"/>
      <c r="OPZ59" s="28"/>
      <c r="OQA59" s="28"/>
      <c r="OQB59" s="28"/>
      <c r="OQC59" s="28"/>
      <c r="OQD59" s="28"/>
      <c r="OQE59" s="28"/>
      <c r="OQF59" s="28"/>
      <c r="OQG59" s="28"/>
      <c r="OQH59" s="28"/>
      <c r="OQI59" s="28"/>
      <c r="OQJ59" s="28"/>
      <c r="OQK59" s="28"/>
      <c r="OQL59" s="28"/>
      <c r="OQM59" s="28"/>
      <c r="OQN59" s="28"/>
      <c r="OQO59" s="28"/>
      <c r="OQP59" s="28"/>
      <c r="OQQ59" s="28"/>
      <c r="OQR59" s="28"/>
      <c r="OQS59" s="28"/>
      <c r="OQT59" s="28"/>
      <c r="OQU59" s="28"/>
      <c r="OQV59" s="28"/>
      <c r="OQW59" s="28"/>
      <c r="OQX59" s="28"/>
      <c r="OQY59" s="28"/>
      <c r="OQZ59" s="28"/>
      <c r="ORA59" s="28"/>
      <c r="ORB59" s="28"/>
      <c r="ORC59" s="28"/>
      <c r="ORD59" s="28"/>
      <c r="ORE59" s="28"/>
      <c r="ORF59" s="28"/>
      <c r="ORG59" s="28"/>
      <c r="ORH59" s="28"/>
      <c r="ORI59" s="28"/>
      <c r="ORJ59" s="28"/>
      <c r="ORK59" s="28"/>
      <c r="ORL59" s="28"/>
      <c r="ORM59" s="28"/>
      <c r="ORN59" s="28"/>
      <c r="ORO59" s="28"/>
      <c r="ORP59" s="28"/>
      <c r="ORQ59" s="28"/>
      <c r="ORR59" s="28"/>
      <c r="ORS59" s="28"/>
      <c r="ORT59" s="28"/>
      <c r="ORU59" s="28"/>
      <c r="ORV59" s="28"/>
      <c r="ORW59" s="28"/>
      <c r="ORX59" s="28"/>
      <c r="ORY59" s="28"/>
      <c r="ORZ59" s="28"/>
      <c r="OSA59" s="28"/>
      <c r="OSB59" s="28"/>
      <c r="OSC59" s="28"/>
      <c r="OSD59" s="28"/>
      <c r="OSE59" s="28"/>
      <c r="OSF59" s="28"/>
      <c r="OSG59" s="28"/>
      <c r="OSH59" s="28"/>
      <c r="OSI59" s="28"/>
      <c r="OSJ59" s="28"/>
      <c r="OSK59" s="28"/>
      <c r="OSL59" s="28"/>
      <c r="OSM59" s="28"/>
      <c r="OSN59" s="28"/>
      <c r="OSO59" s="28"/>
      <c r="OSP59" s="28"/>
      <c r="OSQ59" s="28"/>
      <c r="OSR59" s="28"/>
      <c r="OSS59" s="28"/>
      <c r="OST59" s="28"/>
      <c r="OSU59" s="28"/>
      <c r="OSV59" s="28"/>
      <c r="OSW59" s="28"/>
      <c r="OSX59" s="28"/>
      <c r="OSY59" s="28"/>
      <c r="OSZ59" s="28"/>
      <c r="OTA59" s="28"/>
      <c r="OTB59" s="28"/>
      <c r="OTC59" s="28"/>
      <c r="OTD59" s="28"/>
      <c r="OTE59" s="28"/>
      <c r="OTF59" s="28"/>
      <c r="OTG59" s="28"/>
      <c r="OTH59" s="28"/>
      <c r="OTI59" s="28"/>
      <c r="OTJ59" s="28"/>
      <c r="OTK59" s="28"/>
      <c r="OTL59" s="28"/>
      <c r="OTM59" s="28"/>
      <c r="OTN59" s="28"/>
      <c r="OTO59" s="28"/>
      <c r="OTP59" s="28"/>
      <c r="OTQ59" s="28"/>
      <c r="OTR59" s="28"/>
      <c r="OTS59" s="28"/>
      <c r="OTT59" s="28"/>
      <c r="OTU59" s="28"/>
      <c r="OTV59" s="28"/>
      <c r="OTW59" s="28"/>
      <c r="OTX59" s="28"/>
      <c r="OTY59" s="28"/>
      <c r="OTZ59" s="28"/>
      <c r="OUA59" s="28"/>
      <c r="OUB59" s="28"/>
      <c r="OUC59" s="28"/>
      <c r="OUD59" s="28"/>
      <c r="OUE59" s="28"/>
      <c r="OUF59" s="28"/>
      <c r="OUG59" s="28"/>
      <c r="OUH59" s="28"/>
      <c r="OUI59" s="28"/>
      <c r="OUJ59" s="28"/>
      <c r="OUK59" s="28"/>
      <c r="OUL59" s="28"/>
      <c r="OUM59" s="28"/>
      <c r="OUN59" s="28"/>
      <c r="OUO59" s="28"/>
      <c r="OUP59" s="28"/>
      <c r="OUQ59" s="28"/>
      <c r="OUR59" s="28"/>
      <c r="OUS59" s="28"/>
      <c r="OUT59" s="28"/>
      <c r="OUU59" s="28"/>
      <c r="OUV59" s="28"/>
      <c r="OUW59" s="28"/>
      <c r="OUX59" s="28"/>
      <c r="OUY59" s="28"/>
      <c r="OUZ59" s="28"/>
      <c r="OVA59" s="28"/>
      <c r="OVB59" s="28"/>
      <c r="OVC59" s="28"/>
      <c r="OVD59" s="28"/>
      <c r="OVE59" s="28"/>
      <c r="OVF59" s="28"/>
      <c r="OVG59" s="28"/>
      <c r="OVH59" s="28"/>
      <c r="OVI59" s="28"/>
      <c r="OVJ59" s="28"/>
      <c r="OVK59" s="28"/>
      <c r="OVL59" s="28"/>
      <c r="OVM59" s="28"/>
      <c r="OVN59" s="28"/>
      <c r="OVO59" s="28"/>
      <c r="OVP59" s="28"/>
      <c r="OVQ59" s="28"/>
      <c r="OVR59" s="28"/>
      <c r="OVS59" s="28"/>
      <c r="OVT59" s="28"/>
      <c r="OVU59" s="28"/>
      <c r="OVV59" s="28"/>
      <c r="OVW59" s="28"/>
      <c r="OVX59" s="28"/>
      <c r="OVY59" s="28"/>
      <c r="OVZ59" s="28"/>
      <c r="OWA59" s="28"/>
      <c r="OWB59" s="28"/>
      <c r="OWC59" s="28"/>
      <c r="OWD59" s="28"/>
      <c r="OWE59" s="28"/>
      <c r="OWF59" s="28"/>
      <c r="OWG59" s="28"/>
      <c r="OWH59" s="28"/>
      <c r="OWI59" s="28"/>
      <c r="OWJ59" s="28"/>
      <c r="OWK59" s="28"/>
      <c r="OWL59" s="28"/>
      <c r="OWM59" s="28"/>
      <c r="OWN59" s="28"/>
      <c r="OWO59" s="28"/>
      <c r="OWP59" s="28"/>
      <c r="OWQ59" s="28"/>
      <c r="OWR59" s="28"/>
      <c r="OWS59" s="28"/>
      <c r="OWT59" s="28"/>
      <c r="OWU59" s="28"/>
      <c r="OWV59" s="28"/>
      <c r="OWW59" s="28"/>
      <c r="OWX59" s="28"/>
      <c r="OWY59" s="28"/>
      <c r="OWZ59" s="28"/>
      <c r="OXA59" s="28"/>
      <c r="OXB59" s="28"/>
      <c r="OXC59" s="28"/>
      <c r="OXD59" s="28"/>
      <c r="OXE59" s="28"/>
      <c r="OXF59" s="28"/>
      <c r="OXG59" s="28"/>
      <c r="OXH59" s="28"/>
      <c r="OXI59" s="28"/>
      <c r="OXJ59" s="28"/>
      <c r="OXK59" s="28"/>
      <c r="OXL59" s="28"/>
      <c r="OXM59" s="28"/>
      <c r="OXN59" s="28"/>
      <c r="OXO59" s="28"/>
      <c r="OXP59" s="28"/>
      <c r="OXQ59" s="28"/>
      <c r="OXR59" s="28"/>
      <c r="OXS59" s="28"/>
      <c r="OXT59" s="28"/>
      <c r="OXU59" s="28"/>
      <c r="OXV59" s="28"/>
      <c r="OXW59" s="28"/>
      <c r="OXX59" s="28"/>
      <c r="OXY59" s="28"/>
      <c r="OXZ59" s="28"/>
      <c r="OYA59" s="28"/>
      <c r="OYB59" s="28"/>
      <c r="OYC59" s="28"/>
      <c r="OYD59" s="28"/>
      <c r="OYE59" s="28"/>
      <c r="OYF59" s="28"/>
      <c r="OYG59" s="28"/>
      <c r="OYH59" s="28"/>
      <c r="OYI59" s="28"/>
      <c r="OYJ59" s="28"/>
      <c r="OYK59" s="28"/>
      <c r="OYL59" s="28"/>
      <c r="OYM59" s="28"/>
      <c r="OYN59" s="28"/>
      <c r="OYO59" s="28"/>
      <c r="OYP59" s="28"/>
      <c r="OYQ59" s="28"/>
      <c r="OYR59" s="28"/>
      <c r="OYS59" s="28"/>
      <c r="OYT59" s="28"/>
      <c r="OYU59" s="28"/>
      <c r="OYV59" s="28"/>
      <c r="OYW59" s="28"/>
      <c r="OYX59" s="28"/>
      <c r="OYY59" s="28"/>
      <c r="OYZ59" s="28"/>
      <c r="OZA59" s="28"/>
      <c r="OZB59" s="28"/>
      <c r="OZC59" s="28"/>
      <c r="OZD59" s="28"/>
      <c r="OZE59" s="28"/>
      <c r="OZF59" s="28"/>
      <c r="OZG59" s="28"/>
      <c r="OZH59" s="28"/>
      <c r="OZI59" s="28"/>
      <c r="OZJ59" s="28"/>
      <c r="OZK59" s="28"/>
      <c r="OZL59" s="28"/>
      <c r="OZM59" s="28"/>
      <c r="OZN59" s="28"/>
      <c r="OZO59" s="28"/>
      <c r="OZP59" s="28"/>
      <c r="OZQ59" s="28"/>
      <c r="OZR59" s="28"/>
      <c r="OZS59" s="28"/>
      <c r="OZT59" s="28"/>
      <c r="OZU59" s="28"/>
      <c r="OZV59" s="28"/>
      <c r="OZW59" s="28"/>
      <c r="OZX59" s="28"/>
      <c r="OZY59" s="28"/>
      <c r="OZZ59" s="28"/>
      <c r="PAA59" s="28"/>
      <c r="PAB59" s="28"/>
      <c r="PAC59" s="28"/>
      <c r="PAD59" s="28"/>
      <c r="PAE59" s="28"/>
      <c r="PAF59" s="28"/>
      <c r="PAG59" s="28"/>
      <c r="PAH59" s="28"/>
      <c r="PAI59" s="28"/>
      <c r="PAJ59" s="28"/>
      <c r="PAK59" s="28"/>
      <c r="PAL59" s="28"/>
      <c r="PAM59" s="28"/>
      <c r="PAN59" s="28"/>
      <c r="PAO59" s="28"/>
      <c r="PAP59" s="28"/>
      <c r="PAQ59" s="28"/>
      <c r="PAR59" s="28"/>
      <c r="PAS59" s="28"/>
      <c r="PAT59" s="28"/>
      <c r="PAU59" s="28"/>
      <c r="PAV59" s="28"/>
      <c r="PAW59" s="28"/>
      <c r="PAX59" s="28"/>
      <c r="PAY59" s="28"/>
      <c r="PAZ59" s="28"/>
      <c r="PBA59" s="28"/>
      <c r="PBB59" s="28"/>
      <c r="PBC59" s="28"/>
      <c r="PBD59" s="28"/>
      <c r="PBE59" s="28"/>
      <c r="PBF59" s="28"/>
      <c r="PBG59" s="28"/>
      <c r="PBH59" s="28"/>
      <c r="PBI59" s="28"/>
      <c r="PBJ59" s="28"/>
      <c r="PBK59" s="28"/>
      <c r="PBL59" s="28"/>
      <c r="PBM59" s="28"/>
      <c r="PBN59" s="28"/>
      <c r="PBO59" s="28"/>
      <c r="PBP59" s="28"/>
      <c r="PBQ59" s="28"/>
      <c r="PBR59" s="28"/>
      <c r="PBS59" s="28"/>
      <c r="PBT59" s="28"/>
      <c r="PBU59" s="28"/>
      <c r="PBV59" s="28"/>
      <c r="PBW59" s="28"/>
      <c r="PBX59" s="28"/>
      <c r="PBY59" s="28"/>
      <c r="PBZ59" s="28"/>
      <c r="PCA59" s="28"/>
      <c r="PCB59" s="28"/>
      <c r="PCC59" s="28"/>
      <c r="PCD59" s="28"/>
      <c r="PCE59" s="28"/>
      <c r="PCF59" s="28"/>
      <c r="PCG59" s="28"/>
      <c r="PCH59" s="28"/>
      <c r="PCI59" s="28"/>
      <c r="PCJ59" s="28"/>
      <c r="PCK59" s="28"/>
      <c r="PCL59" s="28"/>
      <c r="PCM59" s="28"/>
      <c r="PCN59" s="28"/>
      <c r="PCO59" s="28"/>
      <c r="PCP59" s="28"/>
      <c r="PCQ59" s="28"/>
      <c r="PCR59" s="28"/>
      <c r="PCS59" s="28"/>
      <c r="PCT59" s="28"/>
      <c r="PCU59" s="28"/>
      <c r="PCV59" s="28"/>
      <c r="PCW59" s="28"/>
      <c r="PCX59" s="28"/>
      <c r="PCY59" s="28"/>
      <c r="PCZ59" s="28"/>
      <c r="PDA59" s="28"/>
      <c r="PDB59" s="28"/>
      <c r="PDC59" s="28"/>
      <c r="PDD59" s="28"/>
      <c r="PDE59" s="28"/>
      <c r="PDF59" s="28"/>
      <c r="PDG59" s="28"/>
      <c r="PDH59" s="28"/>
      <c r="PDI59" s="28"/>
      <c r="PDJ59" s="28"/>
      <c r="PDK59" s="28"/>
      <c r="PDL59" s="28"/>
      <c r="PDM59" s="28"/>
      <c r="PDN59" s="28"/>
      <c r="PDO59" s="28"/>
      <c r="PDP59" s="28"/>
      <c r="PDQ59" s="28"/>
      <c r="PDR59" s="28"/>
      <c r="PDS59" s="28"/>
      <c r="PDT59" s="28"/>
      <c r="PDU59" s="28"/>
      <c r="PDV59" s="28"/>
      <c r="PDW59" s="28"/>
      <c r="PDX59" s="28"/>
      <c r="PDY59" s="28"/>
      <c r="PDZ59" s="28"/>
      <c r="PEA59" s="28"/>
      <c r="PEB59" s="28"/>
      <c r="PEC59" s="28"/>
      <c r="PED59" s="28"/>
      <c r="PEE59" s="28"/>
      <c r="PEF59" s="28"/>
      <c r="PEG59" s="28"/>
      <c r="PEH59" s="28"/>
      <c r="PEI59" s="28"/>
      <c r="PEJ59" s="28"/>
      <c r="PEK59" s="28"/>
      <c r="PEL59" s="28"/>
      <c r="PEM59" s="28"/>
      <c r="PEN59" s="28"/>
      <c r="PEO59" s="28"/>
      <c r="PEP59" s="28"/>
      <c r="PEQ59" s="28"/>
      <c r="PER59" s="28"/>
      <c r="PES59" s="28"/>
      <c r="PET59" s="28"/>
      <c r="PEU59" s="28"/>
      <c r="PEV59" s="28"/>
      <c r="PEW59" s="28"/>
      <c r="PEX59" s="28"/>
      <c r="PEY59" s="28"/>
      <c r="PEZ59" s="28"/>
      <c r="PFA59" s="28"/>
      <c r="PFB59" s="28"/>
      <c r="PFC59" s="28"/>
      <c r="PFD59" s="28"/>
      <c r="PFE59" s="28"/>
      <c r="PFF59" s="28"/>
      <c r="PFG59" s="28"/>
      <c r="PFH59" s="28"/>
      <c r="PFI59" s="28"/>
      <c r="PFJ59" s="28"/>
      <c r="PFK59" s="28"/>
      <c r="PFL59" s="28"/>
      <c r="PFM59" s="28"/>
      <c r="PFN59" s="28"/>
      <c r="PFO59" s="28"/>
      <c r="PFP59" s="28"/>
      <c r="PFQ59" s="28"/>
      <c r="PFR59" s="28"/>
      <c r="PFS59" s="28"/>
      <c r="PFT59" s="28"/>
      <c r="PFU59" s="28"/>
      <c r="PFV59" s="28"/>
      <c r="PFW59" s="28"/>
      <c r="PFX59" s="28"/>
      <c r="PFY59" s="28"/>
      <c r="PFZ59" s="28"/>
      <c r="PGA59" s="28"/>
      <c r="PGB59" s="28"/>
      <c r="PGC59" s="28"/>
      <c r="PGD59" s="28"/>
      <c r="PGE59" s="28"/>
      <c r="PGF59" s="28"/>
      <c r="PGG59" s="28"/>
      <c r="PGH59" s="28"/>
      <c r="PGI59" s="28"/>
      <c r="PGJ59" s="28"/>
      <c r="PGK59" s="28"/>
      <c r="PGL59" s="28"/>
      <c r="PGM59" s="28"/>
      <c r="PGN59" s="28"/>
      <c r="PGO59" s="28"/>
      <c r="PGP59" s="28"/>
      <c r="PGQ59" s="28"/>
      <c r="PGR59" s="28"/>
      <c r="PGS59" s="28"/>
      <c r="PGT59" s="28"/>
      <c r="PGU59" s="28"/>
      <c r="PGV59" s="28"/>
      <c r="PGW59" s="28"/>
      <c r="PGX59" s="28"/>
      <c r="PGY59" s="28"/>
      <c r="PGZ59" s="28"/>
      <c r="PHA59" s="28"/>
      <c r="PHB59" s="28"/>
      <c r="PHC59" s="28"/>
      <c r="PHD59" s="28"/>
      <c r="PHE59" s="28"/>
      <c r="PHF59" s="28"/>
      <c r="PHG59" s="28"/>
      <c r="PHH59" s="28"/>
      <c r="PHI59" s="28"/>
      <c r="PHJ59" s="28"/>
      <c r="PHK59" s="28"/>
      <c r="PHL59" s="28"/>
      <c r="PHM59" s="28"/>
      <c r="PHN59" s="28"/>
      <c r="PHO59" s="28"/>
      <c r="PHP59" s="28"/>
      <c r="PHQ59" s="28"/>
      <c r="PHR59" s="28"/>
      <c r="PHS59" s="28"/>
      <c r="PHT59" s="28"/>
      <c r="PHU59" s="28"/>
      <c r="PHV59" s="28"/>
      <c r="PHW59" s="28"/>
      <c r="PHX59" s="28"/>
      <c r="PHY59" s="28"/>
      <c r="PHZ59" s="28"/>
      <c r="PIA59" s="28"/>
      <c r="PIB59" s="28"/>
      <c r="PIC59" s="28"/>
      <c r="PID59" s="28"/>
      <c r="PIE59" s="28"/>
      <c r="PIF59" s="28"/>
      <c r="PIG59" s="28"/>
      <c r="PIH59" s="28"/>
      <c r="PII59" s="28"/>
      <c r="PIJ59" s="28"/>
      <c r="PIK59" s="28"/>
      <c r="PIL59" s="28"/>
      <c r="PIM59" s="28"/>
      <c r="PIN59" s="28"/>
      <c r="PIO59" s="28"/>
      <c r="PIP59" s="28"/>
      <c r="PIQ59" s="28"/>
      <c r="PIR59" s="28"/>
      <c r="PIS59" s="28"/>
      <c r="PIT59" s="28"/>
      <c r="PIU59" s="28"/>
      <c r="PIV59" s="28"/>
      <c r="PIW59" s="28"/>
      <c r="PIX59" s="28"/>
      <c r="PIY59" s="28"/>
      <c r="PIZ59" s="28"/>
      <c r="PJA59" s="28"/>
      <c r="PJB59" s="28"/>
      <c r="PJC59" s="28"/>
      <c r="PJD59" s="28"/>
      <c r="PJE59" s="28"/>
      <c r="PJF59" s="28"/>
      <c r="PJG59" s="28"/>
      <c r="PJH59" s="28"/>
      <c r="PJI59" s="28"/>
      <c r="PJJ59" s="28"/>
      <c r="PJK59" s="28"/>
      <c r="PJL59" s="28"/>
      <c r="PJM59" s="28"/>
      <c r="PJN59" s="28"/>
      <c r="PJO59" s="28"/>
      <c r="PJP59" s="28"/>
      <c r="PJQ59" s="28"/>
      <c r="PJR59" s="28"/>
      <c r="PJS59" s="28"/>
      <c r="PJT59" s="28"/>
      <c r="PJU59" s="28"/>
      <c r="PJV59" s="28"/>
      <c r="PJW59" s="28"/>
      <c r="PJX59" s="28"/>
      <c r="PJY59" s="28"/>
      <c r="PJZ59" s="28"/>
      <c r="PKA59" s="28"/>
      <c r="PKB59" s="28"/>
      <c r="PKC59" s="28"/>
      <c r="PKD59" s="28"/>
      <c r="PKE59" s="28"/>
      <c r="PKF59" s="28"/>
      <c r="PKG59" s="28"/>
      <c r="PKH59" s="28"/>
      <c r="PKI59" s="28"/>
      <c r="PKJ59" s="28"/>
      <c r="PKK59" s="28"/>
      <c r="PKL59" s="28"/>
      <c r="PKM59" s="28"/>
      <c r="PKN59" s="28"/>
      <c r="PKO59" s="28"/>
      <c r="PKP59" s="28"/>
      <c r="PKQ59" s="28"/>
      <c r="PKR59" s="28"/>
      <c r="PKS59" s="28"/>
      <c r="PKT59" s="28"/>
      <c r="PKU59" s="28"/>
      <c r="PKV59" s="28"/>
      <c r="PKW59" s="28"/>
      <c r="PKX59" s="28"/>
      <c r="PKY59" s="28"/>
      <c r="PKZ59" s="28"/>
      <c r="PLA59" s="28"/>
      <c r="PLB59" s="28"/>
      <c r="PLC59" s="28"/>
      <c r="PLD59" s="28"/>
      <c r="PLE59" s="28"/>
      <c r="PLF59" s="28"/>
      <c r="PLG59" s="28"/>
      <c r="PLH59" s="28"/>
      <c r="PLI59" s="28"/>
      <c r="PLJ59" s="28"/>
      <c r="PLK59" s="28"/>
      <c r="PLL59" s="28"/>
      <c r="PLM59" s="28"/>
      <c r="PLN59" s="28"/>
      <c r="PLO59" s="28"/>
      <c r="PLP59" s="28"/>
      <c r="PLQ59" s="28"/>
      <c r="PLR59" s="28"/>
      <c r="PLS59" s="28"/>
      <c r="PLT59" s="28"/>
      <c r="PLU59" s="28"/>
      <c r="PLV59" s="28"/>
      <c r="PLW59" s="28"/>
      <c r="PLX59" s="28"/>
      <c r="PLY59" s="28"/>
      <c r="PLZ59" s="28"/>
      <c r="PMA59" s="28"/>
      <c r="PMB59" s="28"/>
      <c r="PMC59" s="28"/>
      <c r="PMD59" s="28"/>
      <c r="PME59" s="28"/>
      <c r="PMF59" s="28"/>
      <c r="PMG59" s="28"/>
      <c r="PMH59" s="28"/>
      <c r="PMI59" s="28"/>
      <c r="PMJ59" s="28"/>
      <c r="PMK59" s="28"/>
      <c r="PML59" s="28"/>
      <c r="PMM59" s="28"/>
      <c r="PMN59" s="28"/>
      <c r="PMO59" s="28"/>
      <c r="PMP59" s="28"/>
      <c r="PMQ59" s="28"/>
      <c r="PMR59" s="28"/>
      <c r="PMS59" s="28"/>
      <c r="PMT59" s="28"/>
      <c r="PMU59" s="28"/>
      <c r="PMV59" s="28"/>
      <c r="PMW59" s="28"/>
      <c r="PMX59" s="28"/>
      <c r="PMY59" s="28"/>
      <c r="PMZ59" s="28"/>
      <c r="PNA59" s="28"/>
      <c r="PNB59" s="28"/>
      <c r="PNC59" s="28"/>
      <c r="PND59" s="28"/>
      <c r="PNE59" s="28"/>
      <c r="PNF59" s="28"/>
      <c r="PNG59" s="28"/>
      <c r="PNH59" s="28"/>
      <c r="PNI59" s="28"/>
      <c r="PNJ59" s="28"/>
      <c r="PNK59" s="28"/>
      <c r="PNL59" s="28"/>
      <c r="PNM59" s="28"/>
      <c r="PNN59" s="28"/>
      <c r="PNO59" s="28"/>
      <c r="PNP59" s="28"/>
      <c r="PNQ59" s="28"/>
      <c r="PNR59" s="28"/>
      <c r="PNS59" s="28"/>
      <c r="PNT59" s="28"/>
      <c r="PNU59" s="28"/>
      <c r="PNV59" s="28"/>
      <c r="PNW59" s="28"/>
      <c r="PNX59" s="28"/>
      <c r="PNY59" s="28"/>
      <c r="PNZ59" s="28"/>
      <c r="POA59" s="28"/>
      <c r="POB59" s="28"/>
      <c r="POC59" s="28"/>
      <c r="POD59" s="28"/>
      <c r="POE59" s="28"/>
      <c r="POF59" s="28"/>
      <c r="POG59" s="28"/>
      <c r="POH59" s="28"/>
      <c r="POI59" s="28"/>
      <c r="POJ59" s="28"/>
      <c r="POK59" s="28"/>
      <c r="POL59" s="28"/>
      <c r="POM59" s="28"/>
      <c r="PON59" s="28"/>
      <c r="POO59" s="28"/>
      <c r="POP59" s="28"/>
      <c r="POQ59" s="28"/>
      <c r="POR59" s="28"/>
      <c r="POS59" s="28"/>
      <c r="POT59" s="28"/>
      <c r="POU59" s="28"/>
      <c r="POV59" s="28"/>
      <c r="POW59" s="28"/>
      <c r="POX59" s="28"/>
      <c r="POY59" s="28"/>
      <c r="POZ59" s="28"/>
      <c r="PPA59" s="28"/>
      <c r="PPB59" s="28"/>
      <c r="PPC59" s="28"/>
      <c r="PPD59" s="28"/>
      <c r="PPE59" s="28"/>
      <c r="PPF59" s="28"/>
      <c r="PPG59" s="28"/>
      <c r="PPH59" s="28"/>
      <c r="PPI59" s="28"/>
      <c r="PPJ59" s="28"/>
      <c r="PPK59" s="28"/>
      <c r="PPL59" s="28"/>
      <c r="PPM59" s="28"/>
      <c r="PPN59" s="28"/>
      <c r="PPO59" s="28"/>
      <c r="PPP59" s="28"/>
      <c r="PPQ59" s="28"/>
      <c r="PPR59" s="28"/>
      <c r="PPS59" s="28"/>
      <c r="PPT59" s="28"/>
      <c r="PPU59" s="28"/>
      <c r="PPV59" s="28"/>
      <c r="PPW59" s="28"/>
      <c r="PPX59" s="28"/>
      <c r="PPY59" s="28"/>
      <c r="PPZ59" s="28"/>
      <c r="PQA59" s="28"/>
      <c r="PQB59" s="28"/>
      <c r="PQC59" s="28"/>
      <c r="PQD59" s="28"/>
      <c r="PQE59" s="28"/>
      <c r="PQF59" s="28"/>
      <c r="PQG59" s="28"/>
      <c r="PQH59" s="28"/>
      <c r="PQI59" s="28"/>
      <c r="PQJ59" s="28"/>
      <c r="PQK59" s="28"/>
      <c r="PQL59" s="28"/>
      <c r="PQM59" s="28"/>
      <c r="PQN59" s="28"/>
      <c r="PQO59" s="28"/>
      <c r="PQP59" s="28"/>
      <c r="PQQ59" s="28"/>
      <c r="PQR59" s="28"/>
      <c r="PQS59" s="28"/>
      <c r="PQT59" s="28"/>
      <c r="PQU59" s="28"/>
      <c r="PQV59" s="28"/>
      <c r="PQW59" s="28"/>
      <c r="PQX59" s="28"/>
      <c r="PQY59" s="28"/>
      <c r="PQZ59" s="28"/>
      <c r="PRA59" s="28"/>
      <c r="PRB59" s="28"/>
      <c r="PRC59" s="28"/>
      <c r="PRD59" s="28"/>
      <c r="PRE59" s="28"/>
      <c r="PRF59" s="28"/>
      <c r="PRG59" s="28"/>
      <c r="PRH59" s="28"/>
      <c r="PRI59" s="28"/>
      <c r="PRJ59" s="28"/>
      <c r="PRK59" s="28"/>
      <c r="PRL59" s="28"/>
      <c r="PRM59" s="28"/>
      <c r="PRN59" s="28"/>
      <c r="PRO59" s="28"/>
      <c r="PRP59" s="28"/>
      <c r="PRQ59" s="28"/>
      <c r="PRR59" s="28"/>
      <c r="PRS59" s="28"/>
      <c r="PRT59" s="28"/>
      <c r="PRU59" s="28"/>
      <c r="PRV59" s="28"/>
      <c r="PRW59" s="28"/>
      <c r="PRX59" s="28"/>
      <c r="PRY59" s="28"/>
      <c r="PRZ59" s="28"/>
      <c r="PSA59" s="28"/>
      <c r="PSB59" s="28"/>
      <c r="PSC59" s="28"/>
      <c r="PSD59" s="28"/>
      <c r="PSE59" s="28"/>
      <c r="PSF59" s="28"/>
      <c r="PSG59" s="28"/>
      <c r="PSH59" s="28"/>
      <c r="PSI59" s="28"/>
      <c r="PSJ59" s="28"/>
      <c r="PSK59" s="28"/>
      <c r="PSL59" s="28"/>
      <c r="PSM59" s="28"/>
      <c r="PSN59" s="28"/>
      <c r="PSO59" s="28"/>
      <c r="PSP59" s="28"/>
      <c r="PSQ59" s="28"/>
      <c r="PSR59" s="28"/>
      <c r="PSS59" s="28"/>
      <c r="PST59" s="28"/>
      <c r="PSU59" s="28"/>
      <c r="PSV59" s="28"/>
      <c r="PSW59" s="28"/>
      <c r="PSX59" s="28"/>
      <c r="PSY59" s="28"/>
      <c r="PSZ59" s="28"/>
      <c r="PTA59" s="28"/>
      <c r="PTB59" s="28"/>
      <c r="PTC59" s="28"/>
      <c r="PTD59" s="28"/>
      <c r="PTE59" s="28"/>
      <c r="PTF59" s="28"/>
      <c r="PTG59" s="28"/>
      <c r="PTH59" s="28"/>
      <c r="PTI59" s="28"/>
      <c r="PTJ59" s="28"/>
      <c r="PTK59" s="28"/>
      <c r="PTL59" s="28"/>
      <c r="PTM59" s="28"/>
      <c r="PTN59" s="28"/>
      <c r="PTO59" s="28"/>
      <c r="PTP59" s="28"/>
      <c r="PTQ59" s="28"/>
      <c r="PTR59" s="28"/>
      <c r="PTS59" s="28"/>
      <c r="PTT59" s="28"/>
      <c r="PTU59" s="28"/>
      <c r="PTV59" s="28"/>
      <c r="PTW59" s="28"/>
      <c r="PTX59" s="28"/>
      <c r="PTY59" s="28"/>
      <c r="PTZ59" s="28"/>
      <c r="PUA59" s="28"/>
      <c r="PUB59" s="28"/>
      <c r="PUC59" s="28"/>
      <c r="PUD59" s="28"/>
      <c r="PUE59" s="28"/>
      <c r="PUF59" s="28"/>
      <c r="PUG59" s="28"/>
      <c r="PUH59" s="28"/>
      <c r="PUI59" s="28"/>
      <c r="PUJ59" s="28"/>
      <c r="PUK59" s="28"/>
      <c r="PUL59" s="28"/>
      <c r="PUM59" s="28"/>
      <c r="PUN59" s="28"/>
      <c r="PUO59" s="28"/>
      <c r="PUP59" s="28"/>
      <c r="PUQ59" s="28"/>
      <c r="PUR59" s="28"/>
      <c r="PUS59" s="28"/>
      <c r="PUT59" s="28"/>
      <c r="PUU59" s="28"/>
      <c r="PUV59" s="28"/>
      <c r="PUW59" s="28"/>
      <c r="PUX59" s="28"/>
      <c r="PUY59" s="28"/>
      <c r="PUZ59" s="28"/>
      <c r="PVA59" s="28"/>
      <c r="PVB59" s="28"/>
      <c r="PVC59" s="28"/>
      <c r="PVD59" s="28"/>
      <c r="PVE59" s="28"/>
      <c r="PVF59" s="28"/>
      <c r="PVG59" s="28"/>
      <c r="PVH59" s="28"/>
      <c r="PVI59" s="28"/>
      <c r="PVJ59" s="28"/>
      <c r="PVK59" s="28"/>
      <c r="PVL59" s="28"/>
      <c r="PVM59" s="28"/>
      <c r="PVN59" s="28"/>
      <c r="PVO59" s="28"/>
      <c r="PVP59" s="28"/>
      <c r="PVQ59" s="28"/>
      <c r="PVR59" s="28"/>
      <c r="PVS59" s="28"/>
      <c r="PVT59" s="28"/>
      <c r="PVU59" s="28"/>
      <c r="PVV59" s="28"/>
      <c r="PVW59" s="28"/>
      <c r="PVX59" s="28"/>
      <c r="PVY59" s="28"/>
      <c r="PVZ59" s="28"/>
      <c r="PWA59" s="28"/>
      <c r="PWB59" s="28"/>
      <c r="PWC59" s="28"/>
      <c r="PWD59" s="28"/>
      <c r="PWE59" s="28"/>
      <c r="PWF59" s="28"/>
      <c r="PWG59" s="28"/>
      <c r="PWH59" s="28"/>
      <c r="PWI59" s="28"/>
      <c r="PWJ59" s="28"/>
      <c r="PWK59" s="28"/>
      <c r="PWL59" s="28"/>
      <c r="PWM59" s="28"/>
      <c r="PWN59" s="28"/>
      <c r="PWO59" s="28"/>
      <c r="PWP59" s="28"/>
      <c r="PWQ59" s="28"/>
      <c r="PWR59" s="28"/>
      <c r="PWS59" s="28"/>
      <c r="PWT59" s="28"/>
      <c r="PWU59" s="28"/>
      <c r="PWV59" s="28"/>
      <c r="PWW59" s="28"/>
      <c r="PWX59" s="28"/>
      <c r="PWY59" s="28"/>
      <c r="PWZ59" s="28"/>
      <c r="PXA59" s="28"/>
      <c r="PXB59" s="28"/>
      <c r="PXC59" s="28"/>
      <c r="PXD59" s="28"/>
      <c r="PXE59" s="28"/>
      <c r="PXF59" s="28"/>
      <c r="PXG59" s="28"/>
      <c r="PXH59" s="28"/>
      <c r="PXI59" s="28"/>
      <c r="PXJ59" s="28"/>
      <c r="PXK59" s="28"/>
      <c r="PXL59" s="28"/>
      <c r="PXM59" s="28"/>
      <c r="PXN59" s="28"/>
      <c r="PXO59" s="28"/>
      <c r="PXP59" s="28"/>
      <c r="PXQ59" s="28"/>
      <c r="PXR59" s="28"/>
      <c r="PXS59" s="28"/>
      <c r="PXT59" s="28"/>
      <c r="PXU59" s="28"/>
      <c r="PXV59" s="28"/>
      <c r="PXW59" s="28"/>
      <c r="PXX59" s="28"/>
      <c r="PXY59" s="28"/>
      <c r="PXZ59" s="28"/>
      <c r="PYA59" s="28"/>
      <c r="PYB59" s="28"/>
      <c r="PYC59" s="28"/>
      <c r="PYD59" s="28"/>
      <c r="PYE59" s="28"/>
      <c r="PYF59" s="28"/>
      <c r="PYG59" s="28"/>
      <c r="PYH59" s="28"/>
      <c r="PYI59" s="28"/>
      <c r="PYJ59" s="28"/>
      <c r="PYK59" s="28"/>
      <c r="PYL59" s="28"/>
      <c r="PYM59" s="28"/>
      <c r="PYN59" s="28"/>
      <c r="PYO59" s="28"/>
      <c r="PYP59" s="28"/>
      <c r="PYQ59" s="28"/>
      <c r="PYR59" s="28"/>
      <c r="PYS59" s="28"/>
      <c r="PYT59" s="28"/>
      <c r="PYU59" s="28"/>
      <c r="PYV59" s="28"/>
      <c r="PYW59" s="28"/>
      <c r="PYX59" s="28"/>
      <c r="PYY59" s="28"/>
      <c r="PYZ59" s="28"/>
      <c r="PZA59" s="28"/>
      <c r="PZB59" s="28"/>
      <c r="PZC59" s="28"/>
      <c r="PZD59" s="28"/>
      <c r="PZE59" s="28"/>
      <c r="PZF59" s="28"/>
      <c r="PZG59" s="28"/>
      <c r="PZH59" s="28"/>
      <c r="PZI59" s="28"/>
      <c r="PZJ59" s="28"/>
      <c r="PZK59" s="28"/>
      <c r="PZL59" s="28"/>
      <c r="PZM59" s="28"/>
      <c r="PZN59" s="28"/>
      <c r="PZO59" s="28"/>
      <c r="PZP59" s="28"/>
      <c r="PZQ59" s="28"/>
      <c r="PZR59" s="28"/>
      <c r="PZS59" s="28"/>
      <c r="PZT59" s="28"/>
      <c r="PZU59" s="28"/>
      <c r="PZV59" s="28"/>
      <c r="PZW59" s="28"/>
      <c r="PZX59" s="28"/>
      <c r="PZY59" s="28"/>
      <c r="PZZ59" s="28"/>
      <c r="QAA59" s="28"/>
      <c r="QAB59" s="28"/>
      <c r="QAC59" s="28"/>
      <c r="QAD59" s="28"/>
      <c r="QAE59" s="28"/>
      <c r="QAF59" s="28"/>
      <c r="QAG59" s="28"/>
      <c r="QAH59" s="28"/>
      <c r="QAI59" s="28"/>
      <c r="QAJ59" s="28"/>
      <c r="QAK59" s="28"/>
      <c r="QAL59" s="28"/>
      <c r="QAM59" s="28"/>
      <c r="QAN59" s="28"/>
      <c r="QAO59" s="28"/>
      <c r="QAP59" s="28"/>
      <c r="QAQ59" s="28"/>
      <c r="QAR59" s="28"/>
      <c r="QAS59" s="28"/>
      <c r="QAT59" s="28"/>
      <c r="QAU59" s="28"/>
      <c r="QAV59" s="28"/>
      <c r="QAW59" s="28"/>
      <c r="QAX59" s="28"/>
      <c r="QAY59" s="28"/>
      <c r="QAZ59" s="28"/>
      <c r="QBA59" s="28"/>
      <c r="QBB59" s="28"/>
      <c r="QBC59" s="28"/>
      <c r="QBD59" s="28"/>
      <c r="QBE59" s="28"/>
      <c r="QBF59" s="28"/>
      <c r="QBG59" s="28"/>
      <c r="QBH59" s="28"/>
      <c r="QBI59" s="28"/>
      <c r="QBJ59" s="28"/>
      <c r="QBK59" s="28"/>
      <c r="QBL59" s="28"/>
      <c r="QBM59" s="28"/>
      <c r="QBN59" s="28"/>
      <c r="QBO59" s="28"/>
      <c r="QBP59" s="28"/>
      <c r="QBQ59" s="28"/>
      <c r="QBR59" s="28"/>
      <c r="QBS59" s="28"/>
      <c r="QBT59" s="28"/>
      <c r="QBU59" s="28"/>
      <c r="QBV59" s="28"/>
      <c r="QBW59" s="28"/>
      <c r="QBX59" s="28"/>
      <c r="QBY59" s="28"/>
      <c r="QBZ59" s="28"/>
      <c r="QCA59" s="28"/>
      <c r="QCB59" s="28"/>
      <c r="QCC59" s="28"/>
      <c r="QCD59" s="28"/>
      <c r="QCE59" s="28"/>
      <c r="QCF59" s="28"/>
      <c r="QCG59" s="28"/>
      <c r="QCH59" s="28"/>
      <c r="QCI59" s="28"/>
      <c r="QCJ59" s="28"/>
      <c r="QCK59" s="28"/>
      <c r="QCL59" s="28"/>
      <c r="QCM59" s="28"/>
      <c r="QCN59" s="28"/>
      <c r="QCO59" s="28"/>
      <c r="QCP59" s="28"/>
      <c r="QCQ59" s="28"/>
      <c r="QCR59" s="28"/>
      <c r="QCS59" s="28"/>
      <c r="QCT59" s="28"/>
      <c r="QCU59" s="28"/>
      <c r="QCV59" s="28"/>
      <c r="QCW59" s="28"/>
      <c r="QCX59" s="28"/>
      <c r="QCY59" s="28"/>
      <c r="QCZ59" s="28"/>
      <c r="QDA59" s="28"/>
      <c r="QDB59" s="28"/>
      <c r="QDC59" s="28"/>
      <c r="QDD59" s="28"/>
      <c r="QDE59" s="28"/>
      <c r="QDF59" s="28"/>
      <c r="QDG59" s="28"/>
      <c r="QDH59" s="28"/>
      <c r="QDI59" s="28"/>
      <c r="QDJ59" s="28"/>
      <c r="QDK59" s="28"/>
      <c r="QDL59" s="28"/>
      <c r="QDM59" s="28"/>
      <c r="QDN59" s="28"/>
      <c r="QDO59" s="28"/>
      <c r="QDP59" s="28"/>
      <c r="QDQ59" s="28"/>
      <c r="QDR59" s="28"/>
      <c r="QDS59" s="28"/>
      <c r="QDT59" s="28"/>
      <c r="QDU59" s="28"/>
      <c r="QDV59" s="28"/>
      <c r="QDW59" s="28"/>
      <c r="QDX59" s="28"/>
      <c r="QDY59" s="28"/>
      <c r="QDZ59" s="28"/>
      <c r="QEA59" s="28"/>
      <c r="QEB59" s="28"/>
      <c r="QEC59" s="28"/>
      <c r="QED59" s="28"/>
      <c r="QEE59" s="28"/>
      <c r="QEF59" s="28"/>
      <c r="QEG59" s="28"/>
      <c r="QEH59" s="28"/>
      <c r="QEI59" s="28"/>
      <c r="QEJ59" s="28"/>
      <c r="QEK59" s="28"/>
      <c r="QEL59" s="28"/>
      <c r="QEM59" s="28"/>
      <c r="QEN59" s="28"/>
      <c r="QEO59" s="28"/>
      <c r="QEP59" s="28"/>
      <c r="QEQ59" s="28"/>
      <c r="QER59" s="28"/>
      <c r="QES59" s="28"/>
      <c r="QET59" s="28"/>
      <c r="QEU59" s="28"/>
      <c r="QEV59" s="28"/>
      <c r="QEW59" s="28"/>
      <c r="QEX59" s="28"/>
      <c r="QEY59" s="28"/>
      <c r="QEZ59" s="28"/>
      <c r="QFA59" s="28"/>
      <c r="QFB59" s="28"/>
      <c r="QFC59" s="28"/>
      <c r="QFD59" s="28"/>
      <c r="QFE59" s="28"/>
      <c r="QFF59" s="28"/>
      <c r="QFG59" s="28"/>
      <c r="QFH59" s="28"/>
      <c r="QFI59" s="28"/>
      <c r="QFJ59" s="28"/>
      <c r="QFK59" s="28"/>
      <c r="QFL59" s="28"/>
      <c r="QFM59" s="28"/>
      <c r="QFN59" s="28"/>
      <c r="QFO59" s="28"/>
      <c r="QFP59" s="28"/>
      <c r="QFQ59" s="28"/>
      <c r="QFR59" s="28"/>
      <c r="QFS59" s="28"/>
      <c r="QFT59" s="28"/>
      <c r="QFU59" s="28"/>
      <c r="QFV59" s="28"/>
      <c r="QFW59" s="28"/>
      <c r="QFX59" s="28"/>
      <c r="QFY59" s="28"/>
      <c r="QFZ59" s="28"/>
      <c r="QGA59" s="28"/>
      <c r="QGB59" s="28"/>
      <c r="QGC59" s="28"/>
      <c r="QGD59" s="28"/>
      <c r="QGE59" s="28"/>
      <c r="QGF59" s="28"/>
      <c r="QGG59" s="28"/>
      <c r="QGH59" s="28"/>
      <c r="QGI59" s="28"/>
      <c r="QGJ59" s="28"/>
      <c r="QGK59" s="28"/>
      <c r="QGL59" s="28"/>
      <c r="QGM59" s="28"/>
      <c r="QGN59" s="28"/>
      <c r="QGO59" s="28"/>
      <c r="QGP59" s="28"/>
      <c r="QGQ59" s="28"/>
      <c r="QGR59" s="28"/>
      <c r="QGS59" s="28"/>
      <c r="QGT59" s="28"/>
      <c r="QGU59" s="28"/>
      <c r="QGV59" s="28"/>
      <c r="QGW59" s="28"/>
      <c r="QGX59" s="28"/>
      <c r="QGY59" s="28"/>
      <c r="QGZ59" s="28"/>
      <c r="QHA59" s="28"/>
      <c r="QHB59" s="28"/>
      <c r="QHC59" s="28"/>
      <c r="QHD59" s="28"/>
      <c r="QHE59" s="28"/>
      <c r="QHF59" s="28"/>
      <c r="QHG59" s="28"/>
      <c r="QHH59" s="28"/>
      <c r="QHI59" s="28"/>
      <c r="QHJ59" s="28"/>
      <c r="QHK59" s="28"/>
      <c r="QHL59" s="28"/>
      <c r="QHM59" s="28"/>
      <c r="QHN59" s="28"/>
      <c r="QHO59" s="28"/>
      <c r="QHP59" s="28"/>
      <c r="QHQ59" s="28"/>
      <c r="QHR59" s="28"/>
      <c r="QHS59" s="28"/>
      <c r="QHT59" s="28"/>
      <c r="QHU59" s="28"/>
      <c r="QHV59" s="28"/>
      <c r="QHW59" s="28"/>
      <c r="QHX59" s="28"/>
      <c r="QHY59" s="28"/>
      <c r="QHZ59" s="28"/>
      <c r="QIA59" s="28"/>
      <c r="QIB59" s="28"/>
      <c r="QIC59" s="28"/>
      <c r="QID59" s="28"/>
      <c r="QIE59" s="28"/>
      <c r="QIF59" s="28"/>
      <c r="QIG59" s="28"/>
      <c r="QIH59" s="28"/>
      <c r="QII59" s="28"/>
      <c r="QIJ59" s="28"/>
      <c r="QIK59" s="28"/>
      <c r="QIL59" s="28"/>
      <c r="QIM59" s="28"/>
      <c r="QIN59" s="28"/>
      <c r="QIO59" s="28"/>
      <c r="QIP59" s="28"/>
      <c r="QIQ59" s="28"/>
      <c r="QIR59" s="28"/>
      <c r="QIS59" s="28"/>
      <c r="QIT59" s="28"/>
      <c r="QIU59" s="28"/>
      <c r="QIV59" s="28"/>
      <c r="QIW59" s="28"/>
      <c r="QIX59" s="28"/>
      <c r="QIY59" s="28"/>
      <c r="QIZ59" s="28"/>
      <c r="QJA59" s="28"/>
      <c r="QJB59" s="28"/>
      <c r="QJC59" s="28"/>
      <c r="QJD59" s="28"/>
      <c r="QJE59" s="28"/>
      <c r="QJF59" s="28"/>
      <c r="QJG59" s="28"/>
      <c r="QJH59" s="28"/>
      <c r="QJI59" s="28"/>
      <c r="QJJ59" s="28"/>
      <c r="QJK59" s="28"/>
      <c r="QJL59" s="28"/>
      <c r="QJM59" s="28"/>
      <c r="QJN59" s="28"/>
      <c r="QJO59" s="28"/>
      <c r="QJP59" s="28"/>
      <c r="QJQ59" s="28"/>
      <c r="QJR59" s="28"/>
      <c r="QJS59" s="28"/>
      <c r="QJT59" s="28"/>
      <c r="QJU59" s="28"/>
      <c r="QJV59" s="28"/>
      <c r="QJW59" s="28"/>
      <c r="QJX59" s="28"/>
      <c r="QJY59" s="28"/>
      <c r="QJZ59" s="28"/>
      <c r="QKA59" s="28"/>
      <c r="QKB59" s="28"/>
      <c r="QKC59" s="28"/>
      <c r="QKD59" s="28"/>
      <c r="QKE59" s="28"/>
      <c r="QKF59" s="28"/>
      <c r="QKG59" s="28"/>
      <c r="QKH59" s="28"/>
      <c r="QKI59" s="28"/>
      <c r="QKJ59" s="28"/>
      <c r="QKK59" s="28"/>
      <c r="QKL59" s="28"/>
      <c r="QKM59" s="28"/>
      <c r="QKN59" s="28"/>
      <c r="QKO59" s="28"/>
      <c r="QKP59" s="28"/>
      <c r="QKQ59" s="28"/>
      <c r="QKR59" s="28"/>
      <c r="QKS59" s="28"/>
      <c r="QKT59" s="28"/>
      <c r="QKU59" s="28"/>
      <c r="QKV59" s="28"/>
      <c r="QKW59" s="28"/>
      <c r="QKX59" s="28"/>
      <c r="QKY59" s="28"/>
      <c r="QKZ59" s="28"/>
      <c r="QLA59" s="28"/>
      <c r="QLB59" s="28"/>
      <c r="QLC59" s="28"/>
      <c r="QLD59" s="28"/>
      <c r="QLE59" s="28"/>
      <c r="QLF59" s="28"/>
      <c r="QLG59" s="28"/>
      <c r="QLH59" s="28"/>
      <c r="QLI59" s="28"/>
      <c r="QLJ59" s="28"/>
      <c r="QLK59" s="28"/>
      <c r="QLL59" s="28"/>
      <c r="QLM59" s="28"/>
      <c r="QLN59" s="28"/>
      <c r="QLO59" s="28"/>
      <c r="QLP59" s="28"/>
      <c r="QLQ59" s="28"/>
      <c r="QLR59" s="28"/>
      <c r="QLS59" s="28"/>
      <c r="QLT59" s="28"/>
      <c r="QLU59" s="28"/>
      <c r="QLV59" s="28"/>
      <c r="QLW59" s="28"/>
      <c r="QLX59" s="28"/>
      <c r="QLY59" s="28"/>
      <c r="QLZ59" s="28"/>
      <c r="QMA59" s="28"/>
      <c r="QMB59" s="28"/>
      <c r="QMC59" s="28"/>
      <c r="QMD59" s="28"/>
      <c r="QME59" s="28"/>
      <c r="QMF59" s="28"/>
      <c r="QMG59" s="28"/>
      <c r="QMH59" s="28"/>
      <c r="QMI59" s="28"/>
      <c r="QMJ59" s="28"/>
      <c r="QMK59" s="28"/>
      <c r="QML59" s="28"/>
      <c r="QMM59" s="28"/>
      <c r="QMN59" s="28"/>
      <c r="QMO59" s="28"/>
      <c r="QMP59" s="28"/>
      <c r="QMQ59" s="28"/>
      <c r="QMR59" s="28"/>
      <c r="QMS59" s="28"/>
      <c r="QMT59" s="28"/>
      <c r="QMU59" s="28"/>
      <c r="QMV59" s="28"/>
      <c r="QMW59" s="28"/>
      <c r="QMX59" s="28"/>
      <c r="QMY59" s="28"/>
      <c r="QMZ59" s="28"/>
      <c r="QNA59" s="28"/>
      <c r="QNB59" s="28"/>
      <c r="QNC59" s="28"/>
      <c r="QND59" s="28"/>
      <c r="QNE59" s="28"/>
      <c r="QNF59" s="28"/>
      <c r="QNG59" s="28"/>
      <c r="QNH59" s="28"/>
      <c r="QNI59" s="28"/>
      <c r="QNJ59" s="28"/>
      <c r="QNK59" s="28"/>
      <c r="QNL59" s="28"/>
      <c r="QNM59" s="28"/>
      <c r="QNN59" s="28"/>
      <c r="QNO59" s="28"/>
      <c r="QNP59" s="28"/>
      <c r="QNQ59" s="28"/>
      <c r="QNR59" s="28"/>
      <c r="QNS59" s="28"/>
      <c r="QNT59" s="28"/>
      <c r="QNU59" s="28"/>
      <c r="QNV59" s="28"/>
      <c r="QNW59" s="28"/>
      <c r="QNX59" s="28"/>
      <c r="QNY59" s="28"/>
      <c r="QNZ59" s="28"/>
      <c r="QOA59" s="28"/>
      <c r="QOB59" s="28"/>
      <c r="QOC59" s="28"/>
      <c r="QOD59" s="28"/>
      <c r="QOE59" s="28"/>
      <c r="QOF59" s="28"/>
      <c r="QOG59" s="28"/>
      <c r="QOH59" s="28"/>
      <c r="QOI59" s="28"/>
      <c r="QOJ59" s="28"/>
      <c r="QOK59" s="28"/>
      <c r="QOL59" s="28"/>
      <c r="QOM59" s="28"/>
      <c r="QON59" s="28"/>
      <c r="QOO59" s="28"/>
      <c r="QOP59" s="28"/>
      <c r="QOQ59" s="28"/>
      <c r="QOR59" s="28"/>
      <c r="QOS59" s="28"/>
      <c r="QOT59" s="28"/>
      <c r="QOU59" s="28"/>
      <c r="QOV59" s="28"/>
      <c r="QOW59" s="28"/>
      <c r="QOX59" s="28"/>
      <c r="QOY59" s="28"/>
      <c r="QOZ59" s="28"/>
      <c r="QPA59" s="28"/>
      <c r="QPB59" s="28"/>
      <c r="QPC59" s="28"/>
      <c r="QPD59" s="28"/>
      <c r="QPE59" s="28"/>
      <c r="QPF59" s="28"/>
      <c r="QPG59" s="28"/>
      <c r="QPH59" s="28"/>
      <c r="QPI59" s="28"/>
      <c r="QPJ59" s="28"/>
      <c r="QPK59" s="28"/>
      <c r="QPL59" s="28"/>
      <c r="QPM59" s="28"/>
      <c r="QPN59" s="28"/>
      <c r="QPO59" s="28"/>
      <c r="QPP59" s="28"/>
      <c r="QPQ59" s="28"/>
      <c r="QPR59" s="28"/>
      <c r="QPS59" s="28"/>
      <c r="QPT59" s="28"/>
      <c r="QPU59" s="28"/>
      <c r="QPV59" s="28"/>
      <c r="QPW59" s="28"/>
      <c r="QPX59" s="28"/>
      <c r="QPY59" s="28"/>
      <c r="QPZ59" s="28"/>
      <c r="QQA59" s="28"/>
      <c r="QQB59" s="28"/>
      <c r="QQC59" s="28"/>
      <c r="QQD59" s="28"/>
      <c r="QQE59" s="28"/>
      <c r="QQF59" s="28"/>
      <c r="QQG59" s="28"/>
      <c r="QQH59" s="28"/>
      <c r="QQI59" s="28"/>
      <c r="QQJ59" s="28"/>
      <c r="QQK59" s="28"/>
      <c r="QQL59" s="28"/>
      <c r="QQM59" s="28"/>
      <c r="QQN59" s="28"/>
      <c r="QQO59" s="28"/>
      <c r="QQP59" s="28"/>
      <c r="QQQ59" s="28"/>
      <c r="QQR59" s="28"/>
      <c r="QQS59" s="28"/>
      <c r="QQT59" s="28"/>
      <c r="QQU59" s="28"/>
      <c r="QQV59" s="28"/>
      <c r="QQW59" s="28"/>
      <c r="QQX59" s="28"/>
      <c r="QQY59" s="28"/>
      <c r="QQZ59" s="28"/>
      <c r="QRA59" s="28"/>
      <c r="QRB59" s="28"/>
      <c r="QRC59" s="28"/>
      <c r="QRD59" s="28"/>
      <c r="QRE59" s="28"/>
      <c r="QRF59" s="28"/>
      <c r="QRG59" s="28"/>
      <c r="QRH59" s="28"/>
      <c r="QRI59" s="28"/>
      <c r="QRJ59" s="28"/>
      <c r="QRK59" s="28"/>
      <c r="QRL59" s="28"/>
      <c r="QRM59" s="28"/>
      <c r="QRN59" s="28"/>
      <c r="QRO59" s="28"/>
      <c r="QRP59" s="28"/>
      <c r="QRQ59" s="28"/>
      <c r="QRR59" s="28"/>
      <c r="QRS59" s="28"/>
      <c r="QRT59" s="28"/>
      <c r="QRU59" s="28"/>
      <c r="QRV59" s="28"/>
      <c r="QRW59" s="28"/>
      <c r="QRX59" s="28"/>
      <c r="QRY59" s="28"/>
      <c r="QRZ59" s="28"/>
      <c r="QSA59" s="28"/>
      <c r="QSB59" s="28"/>
      <c r="QSC59" s="28"/>
      <c r="QSD59" s="28"/>
      <c r="QSE59" s="28"/>
      <c r="QSF59" s="28"/>
      <c r="QSG59" s="28"/>
      <c r="QSH59" s="28"/>
      <c r="QSI59" s="28"/>
      <c r="QSJ59" s="28"/>
      <c r="QSK59" s="28"/>
      <c r="QSL59" s="28"/>
      <c r="QSM59" s="28"/>
      <c r="QSN59" s="28"/>
      <c r="QSO59" s="28"/>
      <c r="QSP59" s="28"/>
      <c r="QSQ59" s="28"/>
      <c r="QSR59" s="28"/>
      <c r="QSS59" s="28"/>
      <c r="QST59" s="28"/>
      <c r="QSU59" s="28"/>
      <c r="QSV59" s="28"/>
      <c r="QSW59" s="28"/>
      <c r="QSX59" s="28"/>
      <c r="QSY59" s="28"/>
      <c r="QSZ59" s="28"/>
      <c r="QTA59" s="28"/>
      <c r="QTB59" s="28"/>
      <c r="QTC59" s="28"/>
      <c r="QTD59" s="28"/>
      <c r="QTE59" s="28"/>
      <c r="QTF59" s="28"/>
      <c r="QTG59" s="28"/>
      <c r="QTH59" s="28"/>
      <c r="QTI59" s="28"/>
      <c r="QTJ59" s="28"/>
      <c r="QTK59" s="28"/>
      <c r="QTL59" s="28"/>
      <c r="QTM59" s="28"/>
      <c r="QTN59" s="28"/>
      <c r="QTO59" s="28"/>
      <c r="QTP59" s="28"/>
      <c r="QTQ59" s="28"/>
      <c r="QTR59" s="28"/>
      <c r="QTS59" s="28"/>
      <c r="QTT59" s="28"/>
      <c r="QTU59" s="28"/>
      <c r="QTV59" s="28"/>
      <c r="QTW59" s="28"/>
      <c r="QTX59" s="28"/>
      <c r="QTY59" s="28"/>
      <c r="QTZ59" s="28"/>
      <c r="QUA59" s="28"/>
      <c r="QUB59" s="28"/>
      <c r="QUC59" s="28"/>
      <c r="QUD59" s="28"/>
      <c r="QUE59" s="28"/>
      <c r="QUF59" s="28"/>
      <c r="QUG59" s="28"/>
      <c r="QUH59" s="28"/>
      <c r="QUI59" s="28"/>
      <c r="QUJ59" s="28"/>
      <c r="QUK59" s="28"/>
      <c r="QUL59" s="28"/>
      <c r="QUM59" s="28"/>
      <c r="QUN59" s="28"/>
      <c r="QUO59" s="28"/>
      <c r="QUP59" s="28"/>
      <c r="QUQ59" s="28"/>
      <c r="QUR59" s="28"/>
      <c r="QUS59" s="28"/>
      <c r="QUT59" s="28"/>
      <c r="QUU59" s="28"/>
      <c r="QUV59" s="28"/>
      <c r="QUW59" s="28"/>
      <c r="QUX59" s="28"/>
      <c r="QUY59" s="28"/>
      <c r="QUZ59" s="28"/>
      <c r="QVA59" s="28"/>
      <c r="QVB59" s="28"/>
      <c r="QVC59" s="28"/>
      <c r="QVD59" s="28"/>
      <c r="QVE59" s="28"/>
      <c r="QVF59" s="28"/>
      <c r="QVG59" s="28"/>
      <c r="QVH59" s="28"/>
      <c r="QVI59" s="28"/>
      <c r="QVJ59" s="28"/>
      <c r="QVK59" s="28"/>
      <c r="QVL59" s="28"/>
      <c r="QVM59" s="28"/>
      <c r="QVN59" s="28"/>
      <c r="QVO59" s="28"/>
      <c r="QVP59" s="28"/>
      <c r="QVQ59" s="28"/>
      <c r="QVR59" s="28"/>
      <c r="QVS59" s="28"/>
      <c r="QVT59" s="28"/>
      <c r="QVU59" s="28"/>
      <c r="QVV59" s="28"/>
      <c r="QVW59" s="28"/>
      <c r="QVX59" s="28"/>
      <c r="QVY59" s="28"/>
      <c r="QVZ59" s="28"/>
      <c r="QWA59" s="28"/>
      <c r="QWB59" s="28"/>
      <c r="QWC59" s="28"/>
      <c r="QWD59" s="28"/>
      <c r="QWE59" s="28"/>
      <c r="QWF59" s="28"/>
      <c r="QWG59" s="28"/>
      <c r="QWH59" s="28"/>
      <c r="QWI59" s="28"/>
      <c r="QWJ59" s="28"/>
      <c r="QWK59" s="28"/>
      <c r="QWL59" s="28"/>
      <c r="QWM59" s="28"/>
      <c r="QWN59" s="28"/>
      <c r="QWO59" s="28"/>
      <c r="QWP59" s="28"/>
      <c r="QWQ59" s="28"/>
      <c r="QWR59" s="28"/>
      <c r="QWS59" s="28"/>
      <c r="QWT59" s="28"/>
      <c r="QWU59" s="28"/>
      <c r="QWV59" s="28"/>
      <c r="QWW59" s="28"/>
      <c r="QWX59" s="28"/>
      <c r="QWY59" s="28"/>
      <c r="QWZ59" s="28"/>
      <c r="QXA59" s="28"/>
      <c r="QXB59" s="28"/>
      <c r="QXC59" s="28"/>
      <c r="QXD59" s="28"/>
      <c r="QXE59" s="28"/>
      <c r="QXF59" s="28"/>
      <c r="QXG59" s="28"/>
      <c r="QXH59" s="28"/>
      <c r="QXI59" s="28"/>
      <c r="QXJ59" s="28"/>
      <c r="QXK59" s="28"/>
      <c r="QXL59" s="28"/>
      <c r="QXM59" s="28"/>
      <c r="QXN59" s="28"/>
      <c r="QXO59" s="28"/>
      <c r="QXP59" s="28"/>
      <c r="QXQ59" s="28"/>
      <c r="QXR59" s="28"/>
      <c r="QXS59" s="28"/>
      <c r="QXT59" s="28"/>
      <c r="QXU59" s="28"/>
      <c r="QXV59" s="28"/>
      <c r="QXW59" s="28"/>
      <c r="QXX59" s="28"/>
      <c r="QXY59" s="28"/>
      <c r="QXZ59" s="28"/>
      <c r="QYA59" s="28"/>
      <c r="QYB59" s="28"/>
      <c r="QYC59" s="28"/>
      <c r="QYD59" s="28"/>
      <c r="QYE59" s="28"/>
      <c r="QYF59" s="28"/>
      <c r="QYG59" s="28"/>
      <c r="QYH59" s="28"/>
      <c r="QYI59" s="28"/>
      <c r="QYJ59" s="28"/>
      <c r="QYK59" s="28"/>
      <c r="QYL59" s="28"/>
      <c r="QYM59" s="28"/>
      <c r="QYN59" s="28"/>
      <c r="QYO59" s="28"/>
      <c r="QYP59" s="28"/>
      <c r="QYQ59" s="28"/>
      <c r="QYR59" s="28"/>
      <c r="QYS59" s="28"/>
      <c r="QYT59" s="28"/>
      <c r="QYU59" s="28"/>
      <c r="QYV59" s="28"/>
      <c r="QYW59" s="28"/>
      <c r="QYX59" s="28"/>
      <c r="QYY59" s="28"/>
      <c r="QYZ59" s="28"/>
      <c r="QZA59" s="28"/>
      <c r="QZB59" s="28"/>
      <c r="QZC59" s="28"/>
      <c r="QZD59" s="28"/>
      <c r="QZE59" s="28"/>
      <c r="QZF59" s="28"/>
      <c r="QZG59" s="28"/>
      <c r="QZH59" s="28"/>
      <c r="QZI59" s="28"/>
      <c r="QZJ59" s="28"/>
      <c r="QZK59" s="28"/>
      <c r="QZL59" s="28"/>
      <c r="QZM59" s="28"/>
      <c r="QZN59" s="28"/>
      <c r="QZO59" s="28"/>
      <c r="QZP59" s="28"/>
      <c r="QZQ59" s="28"/>
      <c r="QZR59" s="28"/>
      <c r="QZS59" s="28"/>
      <c r="QZT59" s="28"/>
      <c r="QZU59" s="28"/>
      <c r="QZV59" s="28"/>
      <c r="QZW59" s="28"/>
      <c r="QZX59" s="28"/>
      <c r="QZY59" s="28"/>
      <c r="QZZ59" s="28"/>
      <c r="RAA59" s="28"/>
      <c r="RAB59" s="28"/>
      <c r="RAC59" s="28"/>
      <c r="RAD59" s="28"/>
      <c r="RAE59" s="28"/>
      <c r="RAF59" s="28"/>
      <c r="RAG59" s="28"/>
      <c r="RAH59" s="28"/>
      <c r="RAI59" s="28"/>
      <c r="RAJ59" s="28"/>
      <c r="RAK59" s="28"/>
      <c r="RAL59" s="28"/>
      <c r="RAM59" s="28"/>
      <c r="RAN59" s="28"/>
      <c r="RAO59" s="28"/>
      <c r="RAP59" s="28"/>
      <c r="RAQ59" s="28"/>
      <c r="RAR59" s="28"/>
      <c r="RAS59" s="28"/>
      <c r="RAT59" s="28"/>
      <c r="RAU59" s="28"/>
      <c r="RAV59" s="28"/>
      <c r="RAW59" s="28"/>
      <c r="RAX59" s="28"/>
      <c r="RAY59" s="28"/>
      <c r="RAZ59" s="28"/>
      <c r="RBA59" s="28"/>
      <c r="RBB59" s="28"/>
      <c r="RBC59" s="28"/>
      <c r="RBD59" s="28"/>
      <c r="RBE59" s="28"/>
      <c r="RBF59" s="28"/>
      <c r="RBG59" s="28"/>
      <c r="RBH59" s="28"/>
      <c r="RBI59" s="28"/>
      <c r="RBJ59" s="28"/>
      <c r="RBK59" s="28"/>
      <c r="RBL59" s="28"/>
      <c r="RBM59" s="28"/>
      <c r="RBN59" s="28"/>
      <c r="RBO59" s="28"/>
      <c r="RBP59" s="28"/>
      <c r="RBQ59" s="28"/>
      <c r="RBR59" s="28"/>
      <c r="RBS59" s="28"/>
      <c r="RBT59" s="28"/>
      <c r="RBU59" s="28"/>
      <c r="RBV59" s="28"/>
      <c r="RBW59" s="28"/>
      <c r="RBX59" s="28"/>
      <c r="RBY59" s="28"/>
      <c r="RBZ59" s="28"/>
      <c r="RCA59" s="28"/>
      <c r="RCB59" s="28"/>
      <c r="RCC59" s="28"/>
      <c r="RCD59" s="28"/>
      <c r="RCE59" s="28"/>
      <c r="RCF59" s="28"/>
      <c r="RCG59" s="28"/>
      <c r="RCH59" s="28"/>
      <c r="RCI59" s="28"/>
      <c r="RCJ59" s="28"/>
      <c r="RCK59" s="28"/>
      <c r="RCL59" s="28"/>
      <c r="RCM59" s="28"/>
      <c r="RCN59" s="28"/>
      <c r="RCO59" s="28"/>
      <c r="RCP59" s="28"/>
      <c r="RCQ59" s="28"/>
      <c r="RCR59" s="28"/>
      <c r="RCS59" s="28"/>
      <c r="RCT59" s="28"/>
      <c r="RCU59" s="28"/>
      <c r="RCV59" s="28"/>
      <c r="RCW59" s="28"/>
      <c r="RCX59" s="28"/>
      <c r="RCY59" s="28"/>
      <c r="RCZ59" s="28"/>
      <c r="RDA59" s="28"/>
      <c r="RDB59" s="28"/>
      <c r="RDC59" s="28"/>
      <c r="RDD59" s="28"/>
      <c r="RDE59" s="28"/>
      <c r="RDF59" s="28"/>
      <c r="RDG59" s="28"/>
      <c r="RDH59" s="28"/>
      <c r="RDI59" s="28"/>
      <c r="RDJ59" s="28"/>
      <c r="RDK59" s="28"/>
      <c r="RDL59" s="28"/>
      <c r="RDM59" s="28"/>
      <c r="RDN59" s="28"/>
      <c r="RDO59" s="28"/>
      <c r="RDP59" s="28"/>
      <c r="RDQ59" s="28"/>
      <c r="RDR59" s="28"/>
      <c r="RDS59" s="28"/>
      <c r="RDT59" s="28"/>
      <c r="RDU59" s="28"/>
      <c r="RDV59" s="28"/>
      <c r="RDW59" s="28"/>
      <c r="RDX59" s="28"/>
      <c r="RDY59" s="28"/>
      <c r="RDZ59" s="28"/>
      <c r="REA59" s="28"/>
      <c r="REB59" s="28"/>
      <c r="REC59" s="28"/>
      <c r="RED59" s="28"/>
      <c r="REE59" s="28"/>
      <c r="REF59" s="28"/>
      <c r="REG59" s="28"/>
      <c r="REH59" s="28"/>
      <c r="REI59" s="28"/>
      <c r="REJ59" s="28"/>
      <c r="REK59" s="28"/>
      <c r="REL59" s="28"/>
      <c r="REM59" s="28"/>
      <c r="REN59" s="28"/>
      <c r="REO59" s="28"/>
      <c r="REP59" s="28"/>
      <c r="REQ59" s="28"/>
      <c r="RER59" s="28"/>
      <c r="RES59" s="28"/>
      <c r="RET59" s="28"/>
      <c r="REU59" s="28"/>
      <c r="REV59" s="28"/>
      <c r="REW59" s="28"/>
      <c r="REX59" s="28"/>
      <c r="REY59" s="28"/>
      <c r="REZ59" s="28"/>
      <c r="RFA59" s="28"/>
      <c r="RFB59" s="28"/>
      <c r="RFC59" s="28"/>
      <c r="RFD59" s="28"/>
      <c r="RFE59" s="28"/>
      <c r="RFF59" s="28"/>
      <c r="RFG59" s="28"/>
      <c r="RFH59" s="28"/>
      <c r="RFI59" s="28"/>
      <c r="RFJ59" s="28"/>
      <c r="RFK59" s="28"/>
      <c r="RFL59" s="28"/>
      <c r="RFM59" s="28"/>
      <c r="RFN59" s="28"/>
      <c r="RFO59" s="28"/>
      <c r="RFP59" s="28"/>
      <c r="RFQ59" s="28"/>
      <c r="RFR59" s="28"/>
      <c r="RFS59" s="28"/>
      <c r="RFT59" s="28"/>
      <c r="RFU59" s="28"/>
      <c r="RFV59" s="28"/>
      <c r="RFW59" s="28"/>
      <c r="RFX59" s="28"/>
      <c r="RFY59" s="28"/>
      <c r="RFZ59" s="28"/>
      <c r="RGA59" s="28"/>
      <c r="RGB59" s="28"/>
      <c r="RGC59" s="28"/>
      <c r="RGD59" s="28"/>
      <c r="RGE59" s="28"/>
      <c r="RGF59" s="28"/>
      <c r="RGG59" s="28"/>
      <c r="RGH59" s="28"/>
      <c r="RGI59" s="28"/>
      <c r="RGJ59" s="28"/>
      <c r="RGK59" s="28"/>
      <c r="RGL59" s="28"/>
      <c r="RGM59" s="28"/>
      <c r="RGN59" s="28"/>
      <c r="RGO59" s="28"/>
      <c r="RGP59" s="28"/>
      <c r="RGQ59" s="28"/>
      <c r="RGR59" s="28"/>
      <c r="RGS59" s="28"/>
      <c r="RGT59" s="28"/>
      <c r="RGU59" s="28"/>
      <c r="RGV59" s="28"/>
      <c r="RGW59" s="28"/>
      <c r="RGX59" s="28"/>
      <c r="RGY59" s="28"/>
      <c r="RGZ59" s="28"/>
      <c r="RHA59" s="28"/>
      <c r="RHB59" s="28"/>
      <c r="RHC59" s="28"/>
      <c r="RHD59" s="28"/>
      <c r="RHE59" s="28"/>
      <c r="RHF59" s="28"/>
      <c r="RHG59" s="28"/>
      <c r="RHH59" s="28"/>
      <c r="RHI59" s="28"/>
      <c r="RHJ59" s="28"/>
      <c r="RHK59" s="28"/>
      <c r="RHL59" s="28"/>
      <c r="RHM59" s="28"/>
      <c r="RHN59" s="28"/>
      <c r="RHO59" s="28"/>
      <c r="RHP59" s="28"/>
      <c r="RHQ59" s="28"/>
      <c r="RHR59" s="28"/>
      <c r="RHS59" s="28"/>
      <c r="RHT59" s="28"/>
      <c r="RHU59" s="28"/>
      <c r="RHV59" s="28"/>
      <c r="RHW59" s="28"/>
      <c r="RHX59" s="28"/>
      <c r="RHY59" s="28"/>
      <c r="RHZ59" s="28"/>
      <c r="RIA59" s="28"/>
      <c r="RIB59" s="28"/>
      <c r="RIC59" s="28"/>
      <c r="RID59" s="28"/>
      <c r="RIE59" s="28"/>
      <c r="RIF59" s="28"/>
      <c r="RIG59" s="28"/>
      <c r="RIH59" s="28"/>
      <c r="RII59" s="28"/>
      <c r="RIJ59" s="28"/>
      <c r="RIK59" s="28"/>
      <c r="RIL59" s="28"/>
      <c r="RIM59" s="28"/>
      <c r="RIN59" s="28"/>
      <c r="RIO59" s="28"/>
      <c r="RIP59" s="28"/>
      <c r="RIQ59" s="28"/>
      <c r="RIR59" s="28"/>
      <c r="RIS59" s="28"/>
      <c r="RIT59" s="28"/>
      <c r="RIU59" s="28"/>
      <c r="RIV59" s="28"/>
      <c r="RIW59" s="28"/>
      <c r="RIX59" s="28"/>
      <c r="RIY59" s="28"/>
      <c r="RIZ59" s="28"/>
      <c r="RJA59" s="28"/>
      <c r="RJB59" s="28"/>
      <c r="RJC59" s="28"/>
      <c r="RJD59" s="28"/>
      <c r="RJE59" s="28"/>
      <c r="RJF59" s="28"/>
      <c r="RJG59" s="28"/>
      <c r="RJH59" s="28"/>
      <c r="RJI59" s="28"/>
      <c r="RJJ59" s="28"/>
      <c r="RJK59" s="28"/>
      <c r="RJL59" s="28"/>
      <c r="RJM59" s="28"/>
      <c r="RJN59" s="28"/>
      <c r="RJO59" s="28"/>
      <c r="RJP59" s="28"/>
      <c r="RJQ59" s="28"/>
      <c r="RJR59" s="28"/>
      <c r="RJS59" s="28"/>
      <c r="RJT59" s="28"/>
      <c r="RJU59" s="28"/>
      <c r="RJV59" s="28"/>
      <c r="RJW59" s="28"/>
      <c r="RJX59" s="28"/>
      <c r="RJY59" s="28"/>
      <c r="RJZ59" s="28"/>
      <c r="RKA59" s="28"/>
      <c r="RKB59" s="28"/>
      <c r="RKC59" s="28"/>
      <c r="RKD59" s="28"/>
      <c r="RKE59" s="28"/>
      <c r="RKF59" s="28"/>
      <c r="RKG59" s="28"/>
      <c r="RKH59" s="28"/>
      <c r="RKI59" s="28"/>
      <c r="RKJ59" s="28"/>
      <c r="RKK59" s="28"/>
      <c r="RKL59" s="28"/>
      <c r="RKM59" s="28"/>
      <c r="RKN59" s="28"/>
      <c r="RKO59" s="28"/>
      <c r="RKP59" s="28"/>
      <c r="RKQ59" s="28"/>
      <c r="RKR59" s="28"/>
      <c r="RKS59" s="28"/>
      <c r="RKT59" s="28"/>
      <c r="RKU59" s="28"/>
      <c r="RKV59" s="28"/>
      <c r="RKW59" s="28"/>
      <c r="RKX59" s="28"/>
      <c r="RKY59" s="28"/>
      <c r="RKZ59" s="28"/>
      <c r="RLA59" s="28"/>
      <c r="RLB59" s="28"/>
      <c r="RLC59" s="28"/>
      <c r="RLD59" s="28"/>
      <c r="RLE59" s="28"/>
      <c r="RLF59" s="28"/>
      <c r="RLG59" s="28"/>
      <c r="RLH59" s="28"/>
      <c r="RLI59" s="28"/>
      <c r="RLJ59" s="28"/>
      <c r="RLK59" s="28"/>
      <c r="RLL59" s="28"/>
      <c r="RLM59" s="28"/>
      <c r="RLN59" s="28"/>
      <c r="RLO59" s="28"/>
      <c r="RLP59" s="28"/>
      <c r="RLQ59" s="28"/>
      <c r="RLR59" s="28"/>
      <c r="RLS59" s="28"/>
      <c r="RLT59" s="28"/>
      <c r="RLU59" s="28"/>
      <c r="RLV59" s="28"/>
      <c r="RLW59" s="28"/>
      <c r="RLX59" s="28"/>
      <c r="RLY59" s="28"/>
      <c r="RLZ59" s="28"/>
      <c r="RMA59" s="28"/>
      <c r="RMB59" s="28"/>
      <c r="RMC59" s="28"/>
      <c r="RMD59" s="28"/>
      <c r="RME59" s="28"/>
      <c r="RMF59" s="28"/>
      <c r="RMG59" s="28"/>
      <c r="RMH59" s="28"/>
      <c r="RMI59" s="28"/>
      <c r="RMJ59" s="28"/>
      <c r="RMK59" s="28"/>
      <c r="RML59" s="28"/>
      <c r="RMM59" s="28"/>
      <c r="RMN59" s="28"/>
      <c r="RMO59" s="28"/>
      <c r="RMP59" s="28"/>
      <c r="RMQ59" s="28"/>
      <c r="RMR59" s="28"/>
      <c r="RMS59" s="28"/>
      <c r="RMT59" s="28"/>
      <c r="RMU59" s="28"/>
      <c r="RMV59" s="28"/>
      <c r="RMW59" s="28"/>
      <c r="RMX59" s="28"/>
      <c r="RMY59" s="28"/>
      <c r="RMZ59" s="28"/>
      <c r="RNA59" s="28"/>
      <c r="RNB59" s="28"/>
      <c r="RNC59" s="28"/>
      <c r="RND59" s="28"/>
      <c r="RNE59" s="28"/>
      <c r="RNF59" s="28"/>
      <c r="RNG59" s="28"/>
      <c r="RNH59" s="28"/>
      <c r="RNI59" s="28"/>
      <c r="RNJ59" s="28"/>
      <c r="RNK59" s="28"/>
      <c r="RNL59" s="28"/>
      <c r="RNM59" s="28"/>
      <c r="RNN59" s="28"/>
      <c r="RNO59" s="28"/>
      <c r="RNP59" s="28"/>
      <c r="RNQ59" s="28"/>
      <c r="RNR59" s="28"/>
      <c r="RNS59" s="28"/>
      <c r="RNT59" s="28"/>
      <c r="RNU59" s="28"/>
      <c r="RNV59" s="28"/>
      <c r="RNW59" s="28"/>
      <c r="RNX59" s="28"/>
      <c r="RNY59" s="28"/>
      <c r="RNZ59" s="28"/>
      <c r="ROA59" s="28"/>
      <c r="ROB59" s="28"/>
      <c r="ROC59" s="28"/>
      <c r="ROD59" s="28"/>
      <c r="ROE59" s="28"/>
      <c r="ROF59" s="28"/>
      <c r="ROG59" s="28"/>
      <c r="ROH59" s="28"/>
      <c r="ROI59" s="28"/>
      <c r="ROJ59" s="28"/>
      <c r="ROK59" s="28"/>
      <c r="ROL59" s="28"/>
      <c r="ROM59" s="28"/>
      <c r="RON59" s="28"/>
      <c r="ROO59" s="28"/>
      <c r="ROP59" s="28"/>
      <c r="ROQ59" s="28"/>
      <c r="ROR59" s="28"/>
      <c r="ROS59" s="28"/>
      <c r="ROT59" s="28"/>
      <c r="ROU59" s="28"/>
      <c r="ROV59" s="28"/>
      <c r="ROW59" s="28"/>
      <c r="ROX59" s="28"/>
      <c r="ROY59" s="28"/>
      <c r="ROZ59" s="28"/>
      <c r="RPA59" s="28"/>
      <c r="RPB59" s="28"/>
      <c r="RPC59" s="28"/>
      <c r="RPD59" s="28"/>
      <c r="RPE59" s="28"/>
      <c r="RPF59" s="28"/>
      <c r="RPG59" s="28"/>
      <c r="RPH59" s="28"/>
      <c r="RPI59" s="28"/>
      <c r="RPJ59" s="28"/>
      <c r="RPK59" s="28"/>
      <c r="RPL59" s="28"/>
      <c r="RPM59" s="28"/>
      <c r="RPN59" s="28"/>
      <c r="RPO59" s="28"/>
      <c r="RPP59" s="28"/>
      <c r="RPQ59" s="28"/>
      <c r="RPR59" s="28"/>
      <c r="RPS59" s="28"/>
      <c r="RPT59" s="28"/>
      <c r="RPU59" s="28"/>
      <c r="RPV59" s="28"/>
      <c r="RPW59" s="28"/>
      <c r="RPX59" s="28"/>
      <c r="RPY59" s="28"/>
      <c r="RPZ59" s="28"/>
      <c r="RQA59" s="28"/>
      <c r="RQB59" s="28"/>
      <c r="RQC59" s="28"/>
      <c r="RQD59" s="28"/>
      <c r="RQE59" s="28"/>
      <c r="RQF59" s="28"/>
      <c r="RQG59" s="28"/>
      <c r="RQH59" s="28"/>
      <c r="RQI59" s="28"/>
      <c r="RQJ59" s="28"/>
      <c r="RQK59" s="28"/>
      <c r="RQL59" s="28"/>
      <c r="RQM59" s="28"/>
      <c r="RQN59" s="28"/>
      <c r="RQO59" s="28"/>
      <c r="RQP59" s="28"/>
      <c r="RQQ59" s="28"/>
      <c r="RQR59" s="28"/>
      <c r="RQS59" s="28"/>
      <c r="RQT59" s="28"/>
      <c r="RQU59" s="28"/>
      <c r="RQV59" s="28"/>
      <c r="RQW59" s="28"/>
      <c r="RQX59" s="28"/>
      <c r="RQY59" s="28"/>
      <c r="RQZ59" s="28"/>
      <c r="RRA59" s="28"/>
      <c r="RRB59" s="28"/>
      <c r="RRC59" s="28"/>
      <c r="RRD59" s="28"/>
      <c r="RRE59" s="28"/>
      <c r="RRF59" s="28"/>
      <c r="RRG59" s="28"/>
      <c r="RRH59" s="28"/>
      <c r="RRI59" s="28"/>
      <c r="RRJ59" s="28"/>
      <c r="RRK59" s="28"/>
      <c r="RRL59" s="28"/>
      <c r="RRM59" s="28"/>
      <c r="RRN59" s="28"/>
      <c r="RRO59" s="28"/>
      <c r="RRP59" s="28"/>
      <c r="RRQ59" s="28"/>
      <c r="RRR59" s="28"/>
      <c r="RRS59" s="28"/>
      <c r="RRT59" s="28"/>
      <c r="RRU59" s="28"/>
      <c r="RRV59" s="28"/>
      <c r="RRW59" s="28"/>
      <c r="RRX59" s="28"/>
      <c r="RRY59" s="28"/>
      <c r="RRZ59" s="28"/>
      <c r="RSA59" s="28"/>
      <c r="RSB59" s="28"/>
      <c r="RSC59" s="28"/>
      <c r="RSD59" s="28"/>
      <c r="RSE59" s="28"/>
      <c r="RSF59" s="28"/>
      <c r="RSG59" s="28"/>
      <c r="RSH59" s="28"/>
      <c r="RSI59" s="28"/>
      <c r="RSJ59" s="28"/>
      <c r="RSK59" s="28"/>
      <c r="RSL59" s="28"/>
      <c r="RSM59" s="28"/>
      <c r="RSN59" s="28"/>
      <c r="RSO59" s="28"/>
      <c r="RSP59" s="28"/>
      <c r="RSQ59" s="28"/>
      <c r="RSR59" s="28"/>
      <c r="RSS59" s="28"/>
      <c r="RST59" s="28"/>
      <c r="RSU59" s="28"/>
      <c r="RSV59" s="28"/>
      <c r="RSW59" s="28"/>
      <c r="RSX59" s="28"/>
      <c r="RSY59" s="28"/>
      <c r="RSZ59" s="28"/>
      <c r="RTA59" s="28"/>
      <c r="RTB59" s="28"/>
      <c r="RTC59" s="28"/>
      <c r="RTD59" s="28"/>
      <c r="RTE59" s="28"/>
      <c r="RTF59" s="28"/>
      <c r="RTG59" s="28"/>
      <c r="RTH59" s="28"/>
      <c r="RTI59" s="28"/>
      <c r="RTJ59" s="28"/>
      <c r="RTK59" s="28"/>
      <c r="RTL59" s="28"/>
      <c r="RTM59" s="28"/>
      <c r="RTN59" s="28"/>
      <c r="RTO59" s="28"/>
      <c r="RTP59" s="28"/>
      <c r="RTQ59" s="28"/>
      <c r="RTR59" s="28"/>
      <c r="RTS59" s="28"/>
      <c r="RTT59" s="28"/>
      <c r="RTU59" s="28"/>
      <c r="RTV59" s="28"/>
      <c r="RTW59" s="28"/>
      <c r="RTX59" s="28"/>
      <c r="RTY59" s="28"/>
      <c r="RTZ59" s="28"/>
      <c r="RUA59" s="28"/>
      <c r="RUB59" s="28"/>
      <c r="RUC59" s="28"/>
      <c r="RUD59" s="28"/>
      <c r="RUE59" s="28"/>
      <c r="RUF59" s="28"/>
      <c r="RUG59" s="28"/>
      <c r="RUH59" s="28"/>
      <c r="RUI59" s="28"/>
      <c r="RUJ59" s="28"/>
      <c r="RUK59" s="28"/>
      <c r="RUL59" s="28"/>
      <c r="RUM59" s="28"/>
      <c r="RUN59" s="28"/>
      <c r="RUO59" s="28"/>
      <c r="RUP59" s="28"/>
      <c r="RUQ59" s="28"/>
      <c r="RUR59" s="28"/>
      <c r="RUS59" s="28"/>
      <c r="RUT59" s="28"/>
      <c r="RUU59" s="28"/>
      <c r="RUV59" s="28"/>
      <c r="RUW59" s="28"/>
      <c r="RUX59" s="28"/>
      <c r="RUY59" s="28"/>
      <c r="RUZ59" s="28"/>
      <c r="RVA59" s="28"/>
      <c r="RVB59" s="28"/>
      <c r="RVC59" s="28"/>
      <c r="RVD59" s="28"/>
      <c r="RVE59" s="28"/>
      <c r="RVF59" s="28"/>
      <c r="RVG59" s="28"/>
      <c r="RVH59" s="28"/>
      <c r="RVI59" s="28"/>
      <c r="RVJ59" s="28"/>
      <c r="RVK59" s="28"/>
      <c r="RVL59" s="28"/>
      <c r="RVM59" s="28"/>
      <c r="RVN59" s="28"/>
      <c r="RVO59" s="28"/>
      <c r="RVP59" s="28"/>
      <c r="RVQ59" s="28"/>
      <c r="RVR59" s="28"/>
      <c r="RVS59" s="28"/>
      <c r="RVT59" s="28"/>
      <c r="RVU59" s="28"/>
      <c r="RVV59" s="28"/>
      <c r="RVW59" s="28"/>
      <c r="RVX59" s="28"/>
      <c r="RVY59" s="28"/>
      <c r="RVZ59" s="28"/>
      <c r="RWA59" s="28"/>
      <c r="RWB59" s="28"/>
      <c r="RWC59" s="28"/>
      <c r="RWD59" s="28"/>
      <c r="RWE59" s="28"/>
      <c r="RWF59" s="28"/>
      <c r="RWG59" s="28"/>
      <c r="RWH59" s="28"/>
      <c r="RWI59" s="28"/>
      <c r="RWJ59" s="28"/>
      <c r="RWK59" s="28"/>
      <c r="RWL59" s="28"/>
      <c r="RWM59" s="28"/>
      <c r="RWN59" s="28"/>
      <c r="RWO59" s="28"/>
      <c r="RWP59" s="28"/>
      <c r="RWQ59" s="28"/>
      <c r="RWR59" s="28"/>
      <c r="RWS59" s="28"/>
      <c r="RWT59" s="28"/>
      <c r="RWU59" s="28"/>
      <c r="RWV59" s="28"/>
      <c r="RWW59" s="28"/>
      <c r="RWX59" s="28"/>
      <c r="RWY59" s="28"/>
      <c r="RWZ59" s="28"/>
      <c r="RXA59" s="28"/>
      <c r="RXB59" s="28"/>
      <c r="RXC59" s="28"/>
      <c r="RXD59" s="28"/>
      <c r="RXE59" s="28"/>
      <c r="RXF59" s="28"/>
      <c r="RXG59" s="28"/>
      <c r="RXH59" s="28"/>
      <c r="RXI59" s="28"/>
      <c r="RXJ59" s="28"/>
      <c r="RXK59" s="28"/>
      <c r="RXL59" s="28"/>
      <c r="RXM59" s="28"/>
      <c r="RXN59" s="28"/>
      <c r="RXO59" s="28"/>
      <c r="RXP59" s="28"/>
      <c r="RXQ59" s="28"/>
      <c r="RXR59" s="28"/>
      <c r="RXS59" s="28"/>
      <c r="RXT59" s="28"/>
      <c r="RXU59" s="28"/>
      <c r="RXV59" s="28"/>
      <c r="RXW59" s="28"/>
      <c r="RXX59" s="28"/>
      <c r="RXY59" s="28"/>
      <c r="RXZ59" s="28"/>
      <c r="RYA59" s="28"/>
      <c r="RYB59" s="28"/>
      <c r="RYC59" s="28"/>
      <c r="RYD59" s="28"/>
      <c r="RYE59" s="28"/>
      <c r="RYF59" s="28"/>
      <c r="RYG59" s="28"/>
      <c r="RYH59" s="28"/>
      <c r="RYI59" s="28"/>
      <c r="RYJ59" s="28"/>
      <c r="RYK59" s="28"/>
      <c r="RYL59" s="28"/>
      <c r="RYM59" s="28"/>
      <c r="RYN59" s="28"/>
      <c r="RYO59" s="28"/>
      <c r="RYP59" s="28"/>
      <c r="RYQ59" s="28"/>
      <c r="RYR59" s="28"/>
      <c r="RYS59" s="28"/>
      <c r="RYT59" s="28"/>
      <c r="RYU59" s="28"/>
      <c r="RYV59" s="28"/>
      <c r="RYW59" s="28"/>
      <c r="RYX59" s="28"/>
      <c r="RYY59" s="28"/>
      <c r="RYZ59" s="28"/>
      <c r="RZA59" s="28"/>
      <c r="RZB59" s="28"/>
      <c r="RZC59" s="28"/>
      <c r="RZD59" s="28"/>
      <c r="RZE59" s="28"/>
      <c r="RZF59" s="28"/>
      <c r="RZG59" s="28"/>
      <c r="RZH59" s="28"/>
      <c r="RZI59" s="28"/>
      <c r="RZJ59" s="28"/>
      <c r="RZK59" s="28"/>
      <c r="RZL59" s="28"/>
      <c r="RZM59" s="28"/>
      <c r="RZN59" s="28"/>
      <c r="RZO59" s="28"/>
      <c r="RZP59" s="28"/>
      <c r="RZQ59" s="28"/>
      <c r="RZR59" s="28"/>
      <c r="RZS59" s="28"/>
      <c r="RZT59" s="28"/>
      <c r="RZU59" s="28"/>
      <c r="RZV59" s="28"/>
      <c r="RZW59" s="28"/>
      <c r="RZX59" s="28"/>
      <c r="RZY59" s="28"/>
      <c r="RZZ59" s="28"/>
      <c r="SAA59" s="28"/>
      <c r="SAB59" s="28"/>
      <c r="SAC59" s="28"/>
      <c r="SAD59" s="28"/>
      <c r="SAE59" s="28"/>
      <c r="SAF59" s="28"/>
      <c r="SAG59" s="28"/>
      <c r="SAH59" s="28"/>
      <c r="SAI59" s="28"/>
      <c r="SAJ59" s="28"/>
      <c r="SAK59" s="28"/>
      <c r="SAL59" s="28"/>
      <c r="SAM59" s="28"/>
      <c r="SAN59" s="28"/>
      <c r="SAO59" s="28"/>
      <c r="SAP59" s="28"/>
      <c r="SAQ59" s="28"/>
      <c r="SAR59" s="28"/>
      <c r="SAS59" s="28"/>
      <c r="SAT59" s="28"/>
      <c r="SAU59" s="28"/>
      <c r="SAV59" s="28"/>
      <c r="SAW59" s="28"/>
      <c r="SAX59" s="28"/>
      <c r="SAY59" s="28"/>
      <c r="SAZ59" s="28"/>
      <c r="SBA59" s="28"/>
      <c r="SBB59" s="28"/>
      <c r="SBC59" s="28"/>
      <c r="SBD59" s="28"/>
      <c r="SBE59" s="28"/>
      <c r="SBF59" s="28"/>
      <c r="SBG59" s="28"/>
      <c r="SBH59" s="28"/>
      <c r="SBI59" s="28"/>
      <c r="SBJ59" s="28"/>
      <c r="SBK59" s="28"/>
      <c r="SBL59" s="28"/>
      <c r="SBM59" s="28"/>
      <c r="SBN59" s="28"/>
      <c r="SBO59" s="28"/>
      <c r="SBP59" s="28"/>
      <c r="SBQ59" s="28"/>
      <c r="SBR59" s="28"/>
      <c r="SBS59" s="28"/>
      <c r="SBT59" s="28"/>
      <c r="SBU59" s="28"/>
      <c r="SBV59" s="28"/>
      <c r="SBW59" s="28"/>
      <c r="SBX59" s="28"/>
      <c r="SBY59" s="28"/>
      <c r="SBZ59" s="28"/>
      <c r="SCA59" s="28"/>
      <c r="SCB59" s="28"/>
      <c r="SCC59" s="28"/>
      <c r="SCD59" s="28"/>
      <c r="SCE59" s="28"/>
      <c r="SCF59" s="28"/>
      <c r="SCG59" s="28"/>
      <c r="SCH59" s="28"/>
      <c r="SCI59" s="28"/>
      <c r="SCJ59" s="28"/>
      <c r="SCK59" s="28"/>
      <c r="SCL59" s="28"/>
      <c r="SCM59" s="28"/>
      <c r="SCN59" s="28"/>
      <c r="SCO59" s="28"/>
      <c r="SCP59" s="28"/>
      <c r="SCQ59" s="28"/>
      <c r="SCR59" s="28"/>
      <c r="SCS59" s="28"/>
      <c r="SCT59" s="28"/>
      <c r="SCU59" s="28"/>
      <c r="SCV59" s="28"/>
      <c r="SCW59" s="28"/>
      <c r="SCX59" s="28"/>
      <c r="SCY59" s="28"/>
      <c r="SCZ59" s="28"/>
      <c r="SDA59" s="28"/>
      <c r="SDB59" s="28"/>
      <c r="SDC59" s="28"/>
      <c r="SDD59" s="28"/>
      <c r="SDE59" s="28"/>
      <c r="SDF59" s="28"/>
      <c r="SDG59" s="28"/>
      <c r="SDH59" s="28"/>
      <c r="SDI59" s="28"/>
      <c r="SDJ59" s="28"/>
      <c r="SDK59" s="28"/>
      <c r="SDL59" s="28"/>
      <c r="SDM59" s="28"/>
      <c r="SDN59" s="28"/>
      <c r="SDO59" s="28"/>
      <c r="SDP59" s="28"/>
      <c r="SDQ59" s="28"/>
      <c r="SDR59" s="28"/>
      <c r="SDS59" s="28"/>
      <c r="SDT59" s="28"/>
      <c r="SDU59" s="28"/>
      <c r="SDV59" s="28"/>
      <c r="SDW59" s="28"/>
      <c r="SDX59" s="28"/>
      <c r="SDY59" s="28"/>
      <c r="SDZ59" s="28"/>
      <c r="SEA59" s="28"/>
      <c r="SEB59" s="28"/>
      <c r="SEC59" s="28"/>
      <c r="SED59" s="28"/>
      <c r="SEE59" s="28"/>
      <c r="SEF59" s="28"/>
      <c r="SEG59" s="28"/>
      <c r="SEH59" s="28"/>
      <c r="SEI59" s="28"/>
      <c r="SEJ59" s="28"/>
      <c r="SEK59" s="28"/>
      <c r="SEL59" s="28"/>
      <c r="SEM59" s="28"/>
      <c r="SEN59" s="28"/>
      <c r="SEO59" s="28"/>
      <c r="SEP59" s="28"/>
      <c r="SEQ59" s="28"/>
      <c r="SER59" s="28"/>
      <c r="SES59" s="28"/>
      <c r="SET59" s="28"/>
      <c r="SEU59" s="28"/>
      <c r="SEV59" s="28"/>
      <c r="SEW59" s="28"/>
      <c r="SEX59" s="28"/>
      <c r="SEY59" s="28"/>
      <c r="SEZ59" s="28"/>
      <c r="SFA59" s="28"/>
      <c r="SFB59" s="28"/>
      <c r="SFC59" s="28"/>
      <c r="SFD59" s="28"/>
      <c r="SFE59" s="28"/>
      <c r="SFF59" s="28"/>
      <c r="SFG59" s="28"/>
      <c r="SFH59" s="28"/>
      <c r="SFI59" s="28"/>
      <c r="SFJ59" s="28"/>
      <c r="SFK59" s="28"/>
      <c r="SFL59" s="28"/>
      <c r="SFM59" s="28"/>
      <c r="SFN59" s="28"/>
      <c r="SFO59" s="28"/>
      <c r="SFP59" s="28"/>
      <c r="SFQ59" s="28"/>
      <c r="SFR59" s="28"/>
      <c r="SFS59" s="28"/>
      <c r="SFT59" s="28"/>
      <c r="SFU59" s="28"/>
      <c r="SFV59" s="28"/>
      <c r="SFW59" s="28"/>
      <c r="SFX59" s="28"/>
      <c r="SFY59" s="28"/>
      <c r="SFZ59" s="28"/>
      <c r="SGA59" s="28"/>
      <c r="SGB59" s="28"/>
      <c r="SGC59" s="28"/>
      <c r="SGD59" s="28"/>
      <c r="SGE59" s="28"/>
      <c r="SGF59" s="28"/>
      <c r="SGG59" s="28"/>
      <c r="SGH59" s="28"/>
      <c r="SGI59" s="28"/>
      <c r="SGJ59" s="28"/>
      <c r="SGK59" s="28"/>
      <c r="SGL59" s="28"/>
      <c r="SGM59" s="28"/>
      <c r="SGN59" s="28"/>
      <c r="SGO59" s="28"/>
      <c r="SGP59" s="28"/>
      <c r="SGQ59" s="28"/>
      <c r="SGR59" s="28"/>
      <c r="SGS59" s="28"/>
      <c r="SGT59" s="28"/>
      <c r="SGU59" s="28"/>
      <c r="SGV59" s="28"/>
      <c r="SGW59" s="28"/>
      <c r="SGX59" s="28"/>
      <c r="SGY59" s="28"/>
      <c r="SGZ59" s="28"/>
      <c r="SHA59" s="28"/>
      <c r="SHB59" s="28"/>
      <c r="SHC59" s="28"/>
      <c r="SHD59" s="28"/>
      <c r="SHE59" s="28"/>
      <c r="SHF59" s="28"/>
      <c r="SHG59" s="28"/>
      <c r="SHH59" s="28"/>
      <c r="SHI59" s="28"/>
      <c r="SHJ59" s="28"/>
      <c r="SHK59" s="28"/>
      <c r="SHL59" s="28"/>
      <c r="SHM59" s="28"/>
      <c r="SHN59" s="28"/>
      <c r="SHO59" s="28"/>
      <c r="SHP59" s="28"/>
      <c r="SHQ59" s="28"/>
      <c r="SHR59" s="28"/>
      <c r="SHS59" s="28"/>
      <c r="SHT59" s="28"/>
      <c r="SHU59" s="28"/>
      <c r="SHV59" s="28"/>
      <c r="SHW59" s="28"/>
      <c r="SHX59" s="28"/>
      <c r="SHY59" s="28"/>
      <c r="SHZ59" s="28"/>
      <c r="SIA59" s="28"/>
      <c r="SIB59" s="28"/>
      <c r="SIC59" s="28"/>
      <c r="SID59" s="28"/>
      <c r="SIE59" s="28"/>
      <c r="SIF59" s="28"/>
      <c r="SIG59" s="28"/>
      <c r="SIH59" s="28"/>
      <c r="SII59" s="28"/>
      <c r="SIJ59" s="28"/>
      <c r="SIK59" s="28"/>
      <c r="SIL59" s="28"/>
      <c r="SIM59" s="28"/>
      <c r="SIN59" s="28"/>
      <c r="SIO59" s="28"/>
      <c r="SIP59" s="28"/>
      <c r="SIQ59" s="28"/>
      <c r="SIR59" s="28"/>
      <c r="SIS59" s="28"/>
      <c r="SIT59" s="28"/>
      <c r="SIU59" s="28"/>
      <c r="SIV59" s="28"/>
      <c r="SIW59" s="28"/>
      <c r="SIX59" s="28"/>
      <c r="SIY59" s="28"/>
      <c r="SIZ59" s="28"/>
      <c r="SJA59" s="28"/>
      <c r="SJB59" s="28"/>
      <c r="SJC59" s="28"/>
      <c r="SJD59" s="28"/>
      <c r="SJE59" s="28"/>
      <c r="SJF59" s="28"/>
      <c r="SJG59" s="28"/>
      <c r="SJH59" s="28"/>
      <c r="SJI59" s="28"/>
      <c r="SJJ59" s="28"/>
      <c r="SJK59" s="28"/>
      <c r="SJL59" s="28"/>
      <c r="SJM59" s="28"/>
      <c r="SJN59" s="28"/>
      <c r="SJO59" s="28"/>
      <c r="SJP59" s="28"/>
      <c r="SJQ59" s="28"/>
      <c r="SJR59" s="28"/>
      <c r="SJS59" s="28"/>
      <c r="SJT59" s="28"/>
      <c r="SJU59" s="28"/>
      <c r="SJV59" s="28"/>
      <c r="SJW59" s="28"/>
      <c r="SJX59" s="28"/>
      <c r="SJY59" s="28"/>
      <c r="SJZ59" s="28"/>
      <c r="SKA59" s="28"/>
      <c r="SKB59" s="28"/>
      <c r="SKC59" s="28"/>
      <c r="SKD59" s="28"/>
      <c r="SKE59" s="28"/>
      <c r="SKF59" s="28"/>
      <c r="SKG59" s="28"/>
      <c r="SKH59" s="28"/>
      <c r="SKI59" s="28"/>
      <c r="SKJ59" s="28"/>
      <c r="SKK59" s="28"/>
      <c r="SKL59" s="28"/>
      <c r="SKM59" s="28"/>
      <c r="SKN59" s="28"/>
      <c r="SKO59" s="28"/>
      <c r="SKP59" s="28"/>
      <c r="SKQ59" s="28"/>
      <c r="SKR59" s="28"/>
      <c r="SKS59" s="28"/>
      <c r="SKT59" s="28"/>
      <c r="SKU59" s="28"/>
      <c r="SKV59" s="28"/>
      <c r="SKW59" s="28"/>
      <c r="SKX59" s="28"/>
      <c r="SKY59" s="28"/>
      <c r="SKZ59" s="28"/>
      <c r="SLA59" s="28"/>
      <c r="SLB59" s="28"/>
      <c r="SLC59" s="28"/>
      <c r="SLD59" s="28"/>
      <c r="SLE59" s="28"/>
      <c r="SLF59" s="28"/>
      <c r="SLG59" s="28"/>
      <c r="SLH59" s="28"/>
      <c r="SLI59" s="28"/>
      <c r="SLJ59" s="28"/>
      <c r="SLK59" s="28"/>
      <c r="SLL59" s="28"/>
      <c r="SLM59" s="28"/>
      <c r="SLN59" s="28"/>
      <c r="SLO59" s="28"/>
      <c r="SLP59" s="28"/>
      <c r="SLQ59" s="28"/>
      <c r="SLR59" s="28"/>
      <c r="SLS59" s="28"/>
      <c r="SLT59" s="28"/>
      <c r="SLU59" s="28"/>
      <c r="SLV59" s="28"/>
      <c r="SLW59" s="28"/>
      <c r="SLX59" s="28"/>
      <c r="SLY59" s="28"/>
      <c r="SLZ59" s="28"/>
      <c r="SMA59" s="28"/>
      <c r="SMB59" s="28"/>
      <c r="SMC59" s="28"/>
      <c r="SMD59" s="28"/>
      <c r="SME59" s="28"/>
      <c r="SMF59" s="28"/>
      <c r="SMG59" s="28"/>
      <c r="SMH59" s="28"/>
      <c r="SMI59" s="28"/>
      <c r="SMJ59" s="28"/>
      <c r="SMK59" s="28"/>
      <c r="SML59" s="28"/>
      <c r="SMM59" s="28"/>
      <c r="SMN59" s="28"/>
      <c r="SMO59" s="28"/>
      <c r="SMP59" s="28"/>
      <c r="SMQ59" s="28"/>
      <c r="SMR59" s="28"/>
      <c r="SMS59" s="28"/>
      <c r="SMT59" s="28"/>
      <c r="SMU59" s="28"/>
      <c r="SMV59" s="28"/>
      <c r="SMW59" s="28"/>
      <c r="SMX59" s="28"/>
      <c r="SMY59" s="28"/>
      <c r="SMZ59" s="28"/>
      <c r="SNA59" s="28"/>
      <c r="SNB59" s="28"/>
      <c r="SNC59" s="28"/>
      <c r="SND59" s="28"/>
      <c r="SNE59" s="28"/>
      <c r="SNF59" s="28"/>
      <c r="SNG59" s="28"/>
      <c r="SNH59" s="28"/>
      <c r="SNI59" s="28"/>
      <c r="SNJ59" s="28"/>
      <c r="SNK59" s="28"/>
      <c r="SNL59" s="28"/>
      <c r="SNM59" s="28"/>
      <c r="SNN59" s="28"/>
      <c r="SNO59" s="28"/>
      <c r="SNP59" s="28"/>
      <c r="SNQ59" s="28"/>
      <c r="SNR59" s="28"/>
      <c r="SNS59" s="28"/>
      <c r="SNT59" s="28"/>
      <c r="SNU59" s="28"/>
      <c r="SNV59" s="28"/>
      <c r="SNW59" s="28"/>
      <c r="SNX59" s="28"/>
      <c r="SNY59" s="28"/>
      <c r="SNZ59" s="28"/>
      <c r="SOA59" s="28"/>
      <c r="SOB59" s="28"/>
      <c r="SOC59" s="28"/>
      <c r="SOD59" s="28"/>
      <c r="SOE59" s="28"/>
      <c r="SOF59" s="28"/>
      <c r="SOG59" s="28"/>
      <c r="SOH59" s="28"/>
      <c r="SOI59" s="28"/>
      <c r="SOJ59" s="28"/>
      <c r="SOK59" s="28"/>
      <c r="SOL59" s="28"/>
      <c r="SOM59" s="28"/>
      <c r="SON59" s="28"/>
      <c r="SOO59" s="28"/>
      <c r="SOP59" s="28"/>
      <c r="SOQ59" s="28"/>
      <c r="SOR59" s="28"/>
      <c r="SOS59" s="28"/>
      <c r="SOT59" s="28"/>
      <c r="SOU59" s="28"/>
      <c r="SOV59" s="28"/>
      <c r="SOW59" s="28"/>
      <c r="SOX59" s="28"/>
      <c r="SOY59" s="28"/>
      <c r="SOZ59" s="28"/>
      <c r="SPA59" s="28"/>
      <c r="SPB59" s="28"/>
      <c r="SPC59" s="28"/>
      <c r="SPD59" s="28"/>
      <c r="SPE59" s="28"/>
      <c r="SPF59" s="28"/>
      <c r="SPG59" s="28"/>
      <c r="SPH59" s="28"/>
      <c r="SPI59" s="28"/>
      <c r="SPJ59" s="28"/>
      <c r="SPK59" s="28"/>
      <c r="SPL59" s="28"/>
      <c r="SPM59" s="28"/>
      <c r="SPN59" s="28"/>
      <c r="SPO59" s="28"/>
      <c r="SPP59" s="28"/>
      <c r="SPQ59" s="28"/>
      <c r="SPR59" s="28"/>
      <c r="SPS59" s="28"/>
      <c r="SPT59" s="28"/>
      <c r="SPU59" s="28"/>
      <c r="SPV59" s="28"/>
      <c r="SPW59" s="28"/>
      <c r="SPX59" s="28"/>
      <c r="SPY59" s="28"/>
      <c r="SPZ59" s="28"/>
      <c r="SQA59" s="28"/>
      <c r="SQB59" s="28"/>
      <c r="SQC59" s="28"/>
      <c r="SQD59" s="28"/>
      <c r="SQE59" s="28"/>
      <c r="SQF59" s="28"/>
      <c r="SQG59" s="28"/>
      <c r="SQH59" s="28"/>
      <c r="SQI59" s="28"/>
      <c r="SQJ59" s="28"/>
      <c r="SQK59" s="28"/>
      <c r="SQL59" s="28"/>
      <c r="SQM59" s="28"/>
      <c r="SQN59" s="28"/>
      <c r="SQO59" s="28"/>
      <c r="SQP59" s="28"/>
      <c r="SQQ59" s="28"/>
      <c r="SQR59" s="28"/>
      <c r="SQS59" s="28"/>
      <c r="SQT59" s="28"/>
      <c r="SQU59" s="28"/>
      <c r="SQV59" s="28"/>
      <c r="SQW59" s="28"/>
      <c r="SQX59" s="28"/>
      <c r="SQY59" s="28"/>
      <c r="SQZ59" s="28"/>
      <c r="SRA59" s="28"/>
      <c r="SRB59" s="28"/>
      <c r="SRC59" s="28"/>
      <c r="SRD59" s="28"/>
      <c r="SRE59" s="28"/>
      <c r="SRF59" s="28"/>
      <c r="SRG59" s="28"/>
      <c r="SRH59" s="28"/>
      <c r="SRI59" s="28"/>
      <c r="SRJ59" s="28"/>
      <c r="SRK59" s="28"/>
      <c r="SRL59" s="28"/>
      <c r="SRM59" s="28"/>
      <c r="SRN59" s="28"/>
      <c r="SRO59" s="28"/>
      <c r="SRP59" s="28"/>
      <c r="SRQ59" s="28"/>
      <c r="SRR59" s="28"/>
      <c r="SRS59" s="28"/>
      <c r="SRT59" s="28"/>
      <c r="SRU59" s="28"/>
      <c r="SRV59" s="28"/>
      <c r="SRW59" s="28"/>
      <c r="SRX59" s="28"/>
      <c r="SRY59" s="28"/>
      <c r="SRZ59" s="28"/>
      <c r="SSA59" s="28"/>
      <c r="SSB59" s="28"/>
      <c r="SSC59" s="28"/>
      <c r="SSD59" s="28"/>
      <c r="SSE59" s="28"/>
      <c r="SSF59" s="28"/>
      <c r="SSG59" s="28"/>
      <c r="SSH59" s="28"/>
      <c r="SSI59" s="28"/>
      <c r="SSJ59" s="28"/>
      <c r="SSK59" s="28"/>
      <c r="SSL59" s="28"/>
      <c r="SSM59" s="28"/>
      <c r="SSN59" s="28"/>
      <c r="SSO59" s="28"/>
      <c r="SSP59" s="28"/>
      <c r="SSQ59" s="28"/>
      <c r="SSR59" s="28"/>
      <c r="SSS59" s="28"/>
      <c r="SST59" s="28"/>
      <c r="SSU59" s="28"/>
      <c r="SSV59" s="28"/>
      <c r="SSW59" s="28"/>
      <c r="SSX59" s="28"/>
      <c r="SSY59" s="28"/>
      <c r="SSZ59" s="28"/>
      <c r="STA59" s="28"/>
      <c r="STB59" s="28"/>
      <c r="STC59" s="28"/>
      <c r="STD59" s="28"/>
      <c r="STE59" s="28"/>
      <c r="STF59" s="28"/>
      <c r="STG59" s="28"/>
      <c r="STH59" s="28"/>
      <c r="STI59" s="28"/>
      <c r="STJ59" s="28"/>
      <c r="STK59" s="28"/>
      <c r="STL59" s="28"/>
      <c r="STM59" s="28"/>
      <c r="STN59" s="28"/>
      <c r="STO59" s="28"/>
      <c r="STP59" s="28"/>
      <c r="STQ59" s="28"/>
      <c r="STR59" s="28"/>
      <c r="STS59" s="28"/>
      <c r="STT59" s="28"/>
      <c r="STU59" s="28"/>
      <c r="STV59" s="28"/>
      <c r="STW59" s="28"/>
      <c r="STX59" s="28"/>
      <c r="STY59" s="28"/>
      <c r="STZ59" s="28"/>
      <c r="SUA59" s="28"/>
      <c r="SUB59" s="28"/>
      <c r="SUC59" s="28"/>
      <c r="SUD59" s="28"/>
      <c r="SUE59" s="28"/>
      <c r="SUF59" s="28"/>
      <c r="SUG59" s="28"/>
      <c r="SUH59" s="28"/>
      <c r="SUI59" s="28"/>
      <c r="SUJ59" s="28"/>
      <c r="SUK59" s="28"/>
      <c r="SUL59" s="28"/>
      <c r="SUM59" s="28"/>
      <c r="SUN59" s="28"/>
      <c r="SUO59" s="28"/>
      <c r="SUP59" s="28"/>
      <c r="SUQ59" s="28"/>
      <c r="SUR59" s="28"/>
      <c r="SUS59" s="28"/>
      <c r="SUT59" s="28"/>
      <c r="SUU59" s="28"/>
      <c r="SUV59" s="28"/>
      <c r="SUW59" s="28"/>
      <c r="SUX59" s="28"/>
      <c r="SUY59" s="28"/>
      <c r="SUZ59" s="28"/>
      <c r="SVA59" s="28"/>
      <c r="SVB59" s="28"/>
      <c r="SVC59" s="28"/>
      <c r="SVD59" s="28"/>
      <c r="SVE59" s="28"/>
      <c r="SVF59" s="28"/>
      <c r="SVG59" s="28"/>
      <c r="SVH59" s="28"/>
      <c r="SVI59" s="28"/>
      <c r="SVJ59" s="28"/>
      <c r="SVK59" s="28"/>
      <c r="SVL59" s="28"/>
      <c r="SVM59" s="28"/>
      <c r="SVN59" s="28"/>
      <c r="SVO59" s="28"/>
      <c r="SVP59" s="28"/>
      <c r="SVQ59" s="28"/>
      <c r="SVR59" s="28"/>
      <c r="SVS59" s="28"/>
      <c r="SVT59" s="28"/>
      <c r="SVU59" s="28"/>
      <c r="SVV59" s="28"/>
      <c r="SVW59" s="28"/>
      <c r="SVX59" s="28"/>
      <c r="SVY59" s="28"/>
      <c r="SVZ59" s="28"/>
      <c r="SWA59" s="28"/>
      <c r="SWB59" s="28"/>
      <c r="SWC59" s="28"/>
      <c r="SWD59" s="28"/>
      <c r="SWE59" s="28"/>
      <c r="SWF59" s="28"/>
      <c r="SWG59" s="28"/>
      <c r="SWH59" s="28"/>
      <c r="SWI59" s="28"/>
      <c r="SWJ59" s="28"/>
      <c r="SWK59" s="28"/>
      <c r="SWL59" s="28"/>
      <c r="SWM59" s="28"/>
      <c r="SWN59" s="28"/>
      <c r="SWO59" s="28"/>
      <c r="SWP59" s="28"/>
      <c r="SWQ59" s="28"/>
      <c r="SWR59" s="28"/>
      <c r="SWS59" s="28"/>
      <c r="SWT59" s="28"/>
      <c r="SWU59" s="28"/>
      <c r="SWV59" s="28"/>
      <c r="SWW59" s="28"/>
      <c r="SWX59" s="28"/>
      <c r="SWY59" s="28"/>
      <c r="SWZ59" s="28"/>
      <c r="SXA59" s="28"/>
      <c r="SXB59" s="28"/>
      <c r="SXC59" s="28"/>
      <c r="SXD59" s="28"/>
      <c r="SXE59" s="28"/>
      <c r="SXF59" s="28"/>
      <c r="SXG59" s="28"/>
      <c r="SXH59" s="28"/>
      <c r="SXI59" s="28"/>
      <c r="SXJ59" s="28"/>
      <c r="SXK59" s="28"/>
      <c r="SXL59" s="28"/>
      <c r="SXM59" s="28"/>
      <c r="SXN59" s="28"/>
      <c r="SXO59" s="28"/>
      <c r="SXP59" s="28"/>
      <c r="SXQ59" s="28"/>
      <c r="SXR59" s="28"/>
      <c r="SXS59" s="28"/>
      <c r="SXT59" s="28"/>
      <c r="SXU59" s="28"/>
      <c r="SXV59" s="28"/>
      <c r="SXW59" s="28"/>
      <c r="SXX59" s="28"/>
      <c r="SXY59" s="28"/>
      <c r="SXZ59" s="28"/>
      <c r="SYA59" s="28"/>
      <c r="SYB59" s="28"/>
      <c r="SYC59" s="28"/>
      <c r="SYD59" s="28"/>
      <c r="SYE59" s="28"/>
      <c r="SYF59" s="28"/>
      <c r="SYG59" s="28"/>
      <c r="SYH59" s="28"/>
      <c r="SYI59" s="28"/>
      <c r="SYJ59" s="28"/>
      <c r="SYK59" s="28"/>
      <c r="SYL59" s="28"/>
      <c r="SYM59" s="28"/>
      <c r="SYN59" s="28"/>
      <c r="SYO59" s="28"/>
      <c r="SYP59" s="28"/>
      <c r="SYQ59" s="28"/>
      <c r="SYR59" s="28"/>
      <c r="SYS59" s="28"/>
      <c r="SYT59" s="28"/>
      <c r="SYU59" s="28"/>
      <c r="SYV59" s="28"/>
      <c r="SYW59" s="28"/>
      <c r="SYX59" s="28"/>
      <c r="SYY59" s="28"/>
      <c r="SYZ59" s="28"/>
      <c r="SZA59" s="28"/>
      <c r="SZB59" s="28"/>
      <c r="SZC59" s="28"/>
      <c r="SZD59" s="28"/>
      <c r="SZE59" s="28"/>
      <c r="SZF59" s="28"/>
      <c r="SZG59" s="28"/>
      <c r="SZH59" s="28"/>
      <c r="SZI59" s="28"/>
      <c r="SZJ59" s="28"/>
      <c r="SZK59" s="28"/>
      <c r="SZL59" s="28"/>
      <c r="SZM59" s="28"/>
      <c r="SZN59" s="28"/>
      <c r="SZO59" s="28"/>
      <c r="SZP59" s="28"/>
      <c r="SZQ59" s="28"/>
      <c r="SZR59" s="28"/>
      <c r="SZS59" s="28"/>
      <c r="SZT59" s="28"/>
      <c r="SZU59" s="28"/>
      <c r="SZV59" s="28"/>
      <c r="SZW59" s="28"/>
      <c r="SZX59" s="28"/>
      <c r="SZY59" s="28"/>
      <c r="SZZ59" s="28"/>
      <c r="TAA59" s="28"/>
      <c r="TAB59" s="28"/>
      <c r="TAC59" s="28"/>
      <c r="TAD59" s="28"/>
      <c r="TAE59" s="28"/>
      <c r="TAF59" s="28"/>
      <c r="TAG59" s="28"/>
      <c r="TAH59" s="28"/>
      <c r="TAI59" s="28"/>
      <c r="TAJ59" s="28"/>
      <c r="TAK59" s="28"/>
      <c r="TAL59" s="28"/>
      <c r="TAM59" s="28"/>
      <c r="TAN59" s="28"/>
      <c r="TAO59" s="28"/>
      <c r="TAP59" s="28"/>
      <c r="TAQ59" s="28"/>
      <c r="TAR59" s="28"/>
      <c r="TAS59" s="28"/>
      <c r="TAT59" s="28"/>
      <c r="TAU59" s="28"/>
      <c r="TAV59" s="28"/>
      <c r="TAW59" s="28"/>
      <c r="TAX59" s="28"/>
      <c r="TAY59" s="28"/>
      <c r="TAZ59" s="28"/>
      <c r="TBA59" s="28"/>
      <c r="TBB59" s="28"/>
      <c r="TBC59" s="28"/>
      <c r="TBD59" s="28"/>
      <c r="TBE59" s="28"/>
      <c r="TBF59" s="28"/>
      <c r="TBG59" s="28"/>
      <c r="TBH59" s="28"/>
      <c r="TBI59" s="28"/>
      <c r="TBJ59" s="28"/>
      <c r="TBK59" s="28"/>
      <c r="TBL59" s="28"/>
      <c r="TBM59" s="28"/>
      <c r="TBN59" s="28"/>
      <c r="TBO59" s="28"/>
      <c r="TBP59" s="28"/>
      <c r="TBQ59" s="28"/>
      <c r="TBR59" s="28"/>
      <c r="TBS59" s="28"/>
      <c r="TBT59" s="28"/>
      <c r="TBU59" s="28"/>
      <c r="TBV59" s="28"/>
      <c r="TBW59" s="28"/>
      <c r="TBX59" s="28"/>
      <c r="TBY59" s="28"/>
      <c r="TBZ59" s="28"/>
      <c r="TCA59" s="28"/>
      <c r="TCB59" s="28"/>
      <c r="TCC59" s="28"/>
      <c r="TCD59" s="28"/>
      <c r="TCE59" s="28"/>
      <c r="TCF59" s="28"/>
      <c r="TCG59" s="28"/>
      <c r="TCH59" s="28"/>
      <c r="TCI59" s="28"/>
      <c r="TCJ59" s="28"/>
      <c r="TCK59" s="28"/>
      <c r="TCL59" s="28"/>
      <c r="TCM59" s="28"/>
      <c r="TCN59" s="28"/>
      <c r="TCO59" s="28"/>
      <c r="TCP59" s="28"/>
      <c r="TCQ59" s="28"/>
      <c r="TCR59" s="28"/>
      <c r="TCS59" s="28"/>
      <c r="TCT59" s="28"/>
      <c r="TCU59" s="28"/>
      <c r="TCV59" s="28"/>
      <c r="TCW59" s="28"/>
      <c r="TCX59" s="28"/>
      <c r="TCY59" s="28"/>
      <c r="TCZ59" s="28"/>
      <c r="TDA59" s="28"/>
      <c r="TDB59" s="28"/>
      <c r="TDC59" s="28"/>
      <c r="TDD59" s="28"/>
      <c r="TDE59" s="28"/>
      <c r="TDF59" s="28"/>
      <c r="TDG59" s="28"/>
      <c r="TDH59" s="28"/>
      <c r="TDI59" s="28"/>
      <c r="TDJ59" s="28"/>
      <c r="TDK59" s="28"/>
      <c r="TDL59" s="28"/>
      <c r="TDM59" s="28"/>
      <c r="TDN59" s="28"/>
      <c r="TDO59" s="28"/>
      <c r="TDP59" s="28"/>
      <c r="TDQ59" s="28"/>
      <c r="TDR59" s="28"/>
      <c r="TDS59" s="28"/>
      <c r="TDT59" s="28"/>
      <c r="TDU59" s="28"/>
      <c r="TDV59" s="28"/>
      <c r="TDW59" s="28"/>
      <c r="TDX59" s="28"/>
      <c r="TDY59" s="28"/>
      <c r="TDZ59" s="28"/>
      <c r="TEA59" s="28"/>
      <c r="TEB59" s="28"/>
      <c r="TEC59" s="28"/>
      <c r="TED59" s="28"/>
      <c r="TEE59" s="28"/>
      <c r="TEF59" s="28"/>
      <c r="TEG59" s="28"/>
      <c r="TEH59" s="28"/>
      <c r="TEI59" s="28"/>
      <c r="TEJ59" s="28"/>
      <c r="TEK59" s="28"/>
      <c r="TEL59" s="28"/>
      <c r="TEM59" s="28"/>
      <c r="TEN59" s="28"/>
      <c r="TEO59" s="28"/>
      <c r="TEP59" s="28"/>
      <c r="TEQ59" s="28"/>
      <c r="TER59" s="28"/>
      <c r="TES59" s="28"/>
      <c r="TET59" s="28"/>
      <c r="TEU59" s="28"/>
      <c r="TEV59" s="28"/>
      <c r="TEW59" s="28"/>
      <c r="TEX59" s="28"/>
      <c r="TEY59" s="28"/>
      <c r="TEZ59" s="28"/>
      <c r="TFA59" s="28"/>
      <c r="TFB59" s="28"/>
      <c r="TFC59" s="28"/>
      <c r="TFD59" s="28"/>
      <c r="TFE59" s="28"/>
      <c r="TFF59" s="28"/>
      <c r="TFG59" s="28"/>
      <c r="TFH59" s="28"/>
      <c r="TFI59" s="28"/>
      <c r="TFJ59" s="28"/>
      <c r="TFK59" s="28"/>
      <c r="TFL59" s="28"/>
      <c r="TFM59" s="28"/>
      <c r="TFN59" s="28"/>
      <c r="TFO59" s="28"/>
      <c r="TFP59" s="28"/>
      <c r="TFQ59" s="28"/>
      <c r="TFR59" s="28"/>
      <c r="TFS59" s="28"/>
      <c r="TFT59" s="28"/>
      <c r="TFU59" s="28"/>
      <c r="TFV59" s="28"/>
      <c r="TFW59" s="28"/>
      <c r="TFX59" s="28"/>
      <c r="TFY59" s="28"/>
      <c r="TFZ59" s="28"/>
      <c r="TGA59" s="28"/>
      <c r="TGB59" s="28"/>
      <c r="TGC59" s="28"/>
      <c r="TGD59" s="28"/>
      <c r="TGE59" s="28"/>
      <c r="TGF59" s="28"/>
      <c r="TGG59" s="28"/>
      <c r="TGH59" s="28"/>
      <c r="TGI59" s="28"/>
      <c r="TGJ59" s="28"/>
      <c r="TGK59" s="28"/>
      <c r="TGL59" s="28"/>
      <c r="TGM59" s="28"/>
      <c r="TGN59" s="28"/>
      <c r="TGO59" s="28"/>
      <c r="TGP59" s="28"/>
      <c r="TGQ59" s="28"/>
      <c r="TGR59" s="28"/>
      <c r="TGS59" s="28"/>
      <c r="TGT59" s="28"/>
      <c r="TGU59" s="28"/>
      <c r="TGV59" s="28"/>
      <c r="TGW59" s="28"/>
      <c r="TGX59" s="28"/>
      <c r="TGY59" s="28"/>
      <c r="TGZ59" s="28"/>
      <c r="THA59" s="28"/>
      <c r="THB59" s="28"/>
      <c r="THC59" s="28"/>
      <c r="THD59" s="28"/>
      <c r="THE59" s="28"/>
      <c r="THF59" s="28"/>
      <c r="THG59" s="28"/>
      <c r="THH59" s="28"/>
      <c r="THI59" s="28"/>
      <c r="THJ59" s="28"/>
      <c r="THK59" s="28"/>
      <c r="THL59" s="28"/>
      <c r="THM59" s="28"/>
      <c r="THN59" s="28"/>
      <c r="THO59" s="28"/>
      <c r="THP59" s="28"/>
      <c r="THQ59" s="28"/>
      <c r="THR59" s="28"/>
      <c r="THS59" s="28"/>
      <c r="THT59" s="28"/>
      <c r="THU59" s="28"/>
      <c r="THV59" s="28"/>
      <c r="THW59" s="28"/>
      <c r="THX59" s="28"/>
      <c r="THY59" s="28"/>
      <c r="THZ59" s="28"/>
      <c r="TIA59" s="28"/>
      <c r="TIB59" s="28"/>
      <c r="TIC59" s="28"/>
      <c r="TID59" s="28"/>
      <c r="TIE59" s="28"/>
      <c r="TIF59" s="28"/>
      <c r="TIG59" s="28"/>
      <c r="TIH59" s="28"/>
      <c r="TII59" s="28"/>
      <c r="TIJ59" s="28"/>
      <c r="TIK59" s="28"/>
      <c r="TIL59" s="28"/>
      <c r="TIM59" s="28"/>
      <c r="TIN59" s="28"/>
      <c r="TIO59" s="28"/>
      <c r="TIP59" s="28"/>
      <c r="TIQ59" s="28"/>
      <c r="TIR59" s="28"/>
      <c r="TIS59" s="28"/>
      <c r="TIT59" s="28"/>
      <c r="TIU59" s="28"/>
      <c r="TIV59" s="28"/>
      <c r="TIW59" s="28"/>
      <c r="TIX59" s="28"/>
      <c r="TIY59" s="28"/>
      <c r="TIZ59" s="28"/>
      <c r="TJA59" s="28"/>
      <c r="TJB59" s="28"/>
      <c r="TJC59" s="28"/>
      <c r="TJD59" s="28"/>
      <c r="TJE59" s="28"/>
      <c r="TJF59" s="28"/>
      <c r="TJG59" s="28"/>
      <c r="TJH59" s="28"/>
      <c r="TJI59" s="28"/>
      <c r="TJJ59" s="28"/>
      <c r="TJK59" s="28"/>
      <c r="TJL59" s="28"/>
      <c r="TJM59" s="28"/>
      <c r="TJN59" s="28"/>
      <c r="TJO59" s="28"/>
      <c r="TJP59" s="28"/>
      <c r="TJQ59" s="28"/>
      <c r="TJR59" s="28"/>
      <c r="TJS59" s="28"/>
      <c r="TJT59" s="28"/>
      <c r="TJU59" s="28"/>
      <c r="TJV59" s="28"/>
      <c r="TJW59" s="28"/>
      <c r="TJX59" s="28"/>
      <c r="TJY59" s="28"/>
      <c r="TJZ59" s="28"/>
      <c r="TKA59" s="28"/>
      <c r="TKB59" s="28"/>
      <c r="TKC59" s="28"/>
      <c r="TKD59" s="28"/>
      <c r="TKE59" s="28"/>
      <c r="TKF59" s="28"/>
      <c r="TKG59" s="28"/>
      <c r="TKH59" s="28"/>
      <c r="TKI59" s="28"/>
      <c r="TKJ59" s="28"/>
      <c r="TKK59" s="28"/>
      <c r="TKL59" s="28"/>
      <c r="TKM59" s="28"/>
      <c r="TKN59" s="28"/>
      <c r="TKO59" s="28"/>
      <c r="TKP59" s="28"/>
      <c r="TKQ59" s="28"/>
      <c r="TKR59" s="28"/>
      <c r="TKS59" s="28"/>
      <c r="TKT59" s="28"/>
      <c r="TKU59" s="28"/>
      <c r="TKV59" s="28"/>
      <c r="TKW59" s="28"/>
      <c r="TKX59" s="28"/>
      <c r="TKY59" s="28"/>
      <c r="TKZ59" s="28"/>
      <c r="TLA59" s="28"/>
      <c r="TLB59" s="28"/>
      <c r="TLC59" s="28"/>
      <c r="TLD59" s="28"/>
      <c r="TLE59" s="28"/>
      <c r="TLF59" s="28"/>
      <c r="TLG59" s="28"/>
      <c r="TLH59" s="28"/>
      <c r="TLI59" s="28"/>
      <c r="TLJ59" s="28"/>
      <c r="TLK59" s="28"/>
      <c r="TLL59" s="28"/>
      <c r="TLM59" s="28"/>
      <c r="TLN59" s="28"/>
      <c r="TLO59" s="28"/>
      <c r="TLP59" s="28"/>
      <c r="TLQ59" s="28"/>
      <c r="TLR59" s="28"/>
      <c r="TLS59" s="28"/>
      <c r="TLT59" s="28"/>
      <c r="TLU59" s="28"/>
      <c r="TLV59" s="28"/>
      <c r="TLW59" s="28"/>
      <c r="TLX59" s="28"/>
      <c r="TLY59" s="28"/>
      <c r="TLZ59" s="28"/>
      <c r="TMA59" s="28"/>
      <c r="TMB59" s="28"/>
      <c r="TMC59" s="28"/>
      <c r="TMD59" s="28"/>
      <c r="TME59" s="28"/>
      <c r="TMF59" s="28"/>
      <c r="TMG59" s="28"/>
      <c r="TMH59" s="28"/>
      <c r="TMI59" s="28"/>
      <c r="TMJ59" s="28"/>
      <c r="TMK59" s="28"/>
      <c r="TML59" s="28"/>
      <c r="TMM59" s="28"/>
      <c r="TMN59" s="28"/>
      <c r="TMO59" s="28"/>
      <c r="TMP59" s="28"/>
      <c r="TMQ59" s="28"/>
      <c r="TMR59" s="28"/>
      <c r="TMS59" s="28"/>
      <c r="TMT59" s="28"/>
      <c r="TMU59" s="28"/>
      <c r="TMV59" s="28"/>
      <c r="TMW59" s="28"/>
      <c r="TMX59" s="28"/>
      <c r="TMY59" s="28"/>
      <c r="TMZ59" s="28"/>
      <c r="TNA59" s="28"/>
      <c r="TNB59" s="28"/>
      <c r="TNC59" s="28"/>
      <c r="TND59" s="28"/>
      <c r="TNE59" s="28"/>
      <c r="TNF59" s="28"/>
      <c r="TNG59" s="28"/>
      <c r="TNH59" s="28"/>
      <c r="TNI59" s="28"/>
      <c r="TNJ59" s="28"/>
      <c r="TNK59" s="28"/>
      <c r="TNL59" s="28"/>
      <c r="TNM59" s="28"/>
      <c r="TNN59" s="28"/>
      <c r="TNO59" s="28"/>
      <c r="TNP59" s="28"/>
      <c r="TNQ59" s="28"/>
      <c r="TNR59" s="28"/>
      <c r="TNS59" s="28"/>
      <c r="TNT59" s="28"/>
      <c r="TNU59" s="28"/>
      <c r="TNV59" s="28"/>
      <c r="TNW59" s="28"/>
      <c r="TNX59" s="28"/>
      <c r="TNY59" s="28"/>
      <c r="TNZ59" s="28"/>
      <c r="TOA59" s="28"/>
      <c r="TOB59" s="28"/>
      <c r="TOC59" s="28"/>
      <c r="TOD59" s="28"/>
      <c r="TOE59" s="28"/>
      <c r="TOF59" s="28"/>
      <c r="TOG59" s="28"/>
      <c r="TOH59" s="28"/>
      <c r="TOI59" s="28"/>
      <c r="TOJ59" s="28"/>
      <c r="TOK59" s="28"/>
      <c r="TOL59" s="28"/>
      <c r="TOM59" s="28"/>
      <c r="TON59" s="28"/>
      <c r="TOO59" s="28"/>
      <c r="TOP59" s="28"/>
      <c r="TOQ59" s="28"/>
      <c r="TOR59" s="28"/>
      <c r="TOS59" s="28"/>
      <c r="TOT59" s="28"/>
      <c r="TOU59" s="28"/>
      <c r="TOV59" s="28"/>
      <c r="TOW59" s="28"/>
      <c r="TOX59" s="28"/>
      <c r="TOY59" s="28"/>
      <c r="TOZ59" s="28"/>
      <c r="TPA59" s="28"/>
      <c r="TPB59" s="28"/>
      <c r="TPC59" s="28"/>
      <c r="TPD59" s="28"/>
      <c r="TPE59" s="28"/>
      <c r="TPF59" s="28"/>
      <c r="TPG59" s="28"/>
      <c r="TPH59" s="28"/>
      <c r="TPI59" s="28"/>
      <c r="TPJ59" s="28"/>
      <c r="TPK59" s="28"/>
      <c r="TPL59" s="28"/>
      <c r="TPM59" s="28"/>
      <c r="TPN59" s="28"/>
      <c r="TPO59" s="28"/>
      <c r="TPP59" s="28"/>
      <c r="TPQ59" s="28"/>
      <c r="TPR59" s="28"/>
      <c r="TPS59" s="28"/>
      <c r="TPT59" s="28"/>
      <c r="TPU59" s="28"/>
      <c r="TPV59" s="28"/>
      <c r="TPW59" s="28"/>
      <c r="TPX59" s="28"/>
      <c r="TPY59" s="28"/>
      <c r="TPZ59" s="28"/>
      <c r="TQA59" s="28"/>
      <c r="TQB59" s="28"/>
      <c r="TQC59" s="28"/>
      <c r="TQD59" s="28"/>
      <c r="TQE59" s="28"/>
      <c r="TQF59" s="28"/>
      <c r="TQG59" s="28"/>
      <c r="TQH59" s="28"/>
      <c r="TQI59" s="28"/>
      <c r="TQJ59" s="28"/>
      <c r="TQK59" s="28"/>
      <c r="TQL59" s="28"/>
      <c r="TQM59" s="28"/>
      <c r="TQN59" s="28"/>
      <c r="TQO59" s="28"/>
      <c r="TQP59" s="28"/>
      <c r="TQQ59" s="28"/>
      <c r="TQR59" s="28"/>
      <c r="TQS59" s="28"/>
      <c r="TQT59" s="28"/>
      <c r="TQU59" s="28"/>
      <c r="TQV59" s="28"/>
      <c r="TQW59" s="28"/>
      <c r="TQX59" s="28"/>
      <c r="TQY59" s="28"/>
      <c r="TQZ59" s="28"/>
      <c r="TRA59" s="28"/>
      <c r="TRB59" s="28"/>
      <c r="TRC59" s="28"/>
      <c r="TRD59" s="28"/>
      <c r="TRE59" s="28"/>
      <c r="TRF59" s="28"/>
      <c r="TRG59" s="28"/>
      <c r="TRH59" s="28"/>
      <c r="TRI59" s="28"/>
      <c r="TRJ59" s="28"/>
      <c r="TRK59" s="28"/>
      <c r="TRL59" s="28"/>
      <c r="TRM59" s="28"/>
      <c r="TRN59" s="28"/>
      <c r="TRO59" s="28"/>
      <c r="TRP59" s="28"/>
      <c r="TRQ59" s="28"/>
      <c r="TRR59" s="28"/>
      <c r="TRS59" s="28"/>
      <c r="TRT59" s="28"/>
      <c r="TRU59" s="28"/>
      <c r="TRV59" s="28"/>
      <c r="TRW59" s="28"/>
      <c r="TRX59" s="28"/>
      <c r="TRY59" s="28"/>
      <c r="TRZ59" s="28"/>
      <c r="TSA59" s="28"/>
      <c r="TSB59" s="28"/>
      <c r="TSC59" s="28"/>
      <c r="TSD59" s="28"/>
      <c r="TSE59" s="28"/>
      <c r="TSF59" s="28"/>
      <c r="TSG59" s="28"/>
      <c r="TSH59" s="28"/>
      <c r="TSI59" s="28"/>
      <c r="TSJ59" s="28"/>
      <c r="TSK59" s="28"/>
      <c r="TSL59" s="28"/>
      <c r="TSM59" s="28"/>
      <c r="TSN59" s="28"/>
      <c r="TSO59" s="28"/>
      <c r="TSP59" s="28"/>
      <c r="TSQ59" s="28"/>
      <c r="TSR59" s="28"/>
      <c r="TSS59" s="28"/>
      <c r="TST59" s="28"/>
      <c r="TSU59" s="28"/>
      <c r="TSV59" s="28"/>
      <c r="TSW59" s="28"/>
      <c r="TSX59" s="28"/>
      <c r="TSY59" s="28"/>
      <c r="TSZ59" s="28"/>
      <c r="TTA59" s="28"/>
      <c r="TTB59" s="28"/>
      <c r="TTC59" s="28"/>
      <c r="TTD59" s="28"/>
      <c r="TTE59" s="28"/>
      <c r="TTF59" s="28"/>
      <c r="TTG59" s="28"/>
      <c r="TTH59" s="28"/>
      <c r="TTI59" s="28"/>
      <c r="TTJ59" s="28"/>
      <c r="TTK59" s="28"/>
      <c r="TTL59" s="28"/>
      <c r="TTM59" s="28"/>
      <c r="TTN59" s="28"/>
      <c r="TTO59" s="28"/>
      <c r="TTP59" s="28"/>
      <c r="TTQ59" s="28"/>
      <c r="TTR59" s="28"/>
      <c r="TTS59" s="28"/>
      <c r="TTT59" s="28"/>
      <c r="TTU59" s="28"/>
      <c r="TTV59" s="28"/>
      <c r="TTW59" s="28"/>
      <c r="TTX59" s="28"/>
      <c r="TTY59" s="28"/>
      <c r="TTZ59" s="28"/>
      <c r="TUA59" s="28"/>
      <c r="TUB59" s="28"/>
      <c r="TUC59" s="28"/>
      <c r="TUD59" s="28"/>
      <c r="TUE59" s="28"/>
      <c r="TUF59" s="28"/>
      <c r="TUG59" s="28"/>
      <c r="TUH59" s="28"/>
      <c r="TUI59" s="28"/>
      <c r="TUJ59" s="28"/>
      <c r="TUK59" s="28"/>
      <c r="TUL59" s="28"/>
      <c r="TUM59" s="28"/>
      <c r="TUN59" s="28"/>
      <c r="TUO59" s="28"/>
      <c r="TUP59" s="28"/>
      <c r="TUQ59" s="28"/>
      <c r="TUR59" s="28"/>
      <c r="TUS59" s="28"/>
      <c r="TUT59" s="28"/>
      <c r="TUU59" s="28"/>
      <c r="TUV59" s="28"/>
      <c r="TUW59" s="28"/>
      <c r="TUX59" s="28"/>
      <c r="TUY59" s="28"/>
      <c r="TUZ59" s="28"/>
      <c r="TVA59" s="28"/>
      <c r="TVB59" s="28"/>
      <c r="TVC59" s="28"/>
      <c r="TVD59" s="28"/>
      <c r="TVE59" s="28"/>
      <c r="TVF59" s="28"/>
      <c r="TVG59" s="28"/>
      <c r="TVH59" s="28"/>
      <c r="TVI59" s="28"/>
      <c r="TVJ59" s="28"/>
      <c r="TVK59" s="28"/>
      <c r="TVL59" s="28"/>
      <c r="TVM59" s="28"/>
      <c r="TVN59" s="28"/>
      <c r="TVO59" s="28"/>
      <c r="TVP59" s="28"/>
      <c r="TVQ59" s="28"/>
      <c r="TVR59" s="28"/>
      <c r="TVS59" s="28"/>
      <c r="TVT59" s="28"/>
      <c r="TVU59" s="28"/>
      <c r="TVV59" s="28"/>
      <c r="TVW59" s="28"/>
      <c r="TVX59" s="28"/>
      <c r="TVY59" s="28"/>
      <c r="TVZ59" s="28"/>
      <c r="TWA59" s="28"/>
      <c r="TWB59" s="28"/>
      <c r="TWC59" s="28"/>
      <c r="TWD59" s="28"/>
      <c r="TWE59" s="28"/>
      <c r="TWF59" s="28"/>
      <c r="TWG59" s="28"/>
      <c r="TWH59" s="28"/>
      <c r="TWI59" s="28"/>
      <c r="TWJ59" s="28"/>
      <c r="TWK59" s="28"/>
      <c r="TWL59" s="28"/>
      <c r="TWM59" s="28"/>
      <c r="TWN59" s="28"/>
      <c r="TWO59" s="28"/>
      <c r="TWP59" s="28"/>
      <c r="TWQ59" s="28"/>
      <c r="TWR59" s="28"/>
      <c r="TWS59" s="28"/>
      <c r="TWT59" s="28"/>
      <c r="TWU59" s="28"/>
      <c r="TWV59" s="28"/>
      <c r="TWW59" s="28"/>
      <c r="TWX59" s="28"/>
      <c r="TWY59" s="28"/>
      <c r="TWZ59" s="28"/>
      <c r="TXA59" s="28"/>
      <c r="TXB59" s="28"/>
      <c r="TXC59" s="28"/>
      <c r="TXD59" s="28"/>
      <c r="TXE59" s="28"/>
      <c r="TXF59" s="28"/>
      <c r="TXG59" s="28"/>
      <c r="TXH59" s="28"/>
      <c r="TXI59" s="28"/>
      <c r="TXJ59" s="28"/>
      <c r="TXK59" s="28"/>
      <c r="TXL59" s="28"/>
      <c r="TXM59" s="28"/>
      <c r="TXN59" s="28"/>
      <c r="TXO59" s="28"/>
      <c r="TXP59" s="28"/>
      <c r="TXQ59" s="28"/>
      <c r="TXR59" s="28"/>
      <c r="TXS59" s="28"/>
      <c r="TXT59" s="28"/>
      <c r="TXU59" s="28"/>
      <c r="TXV59" s="28"/>
      <c r="TXW59" s="28"/>
      <c r="TXX59" s="28"/>
      <c r="TXY59" s="28"/>
      <c r="TXZ59" s="28"/>
      <c r="TYA59" s="28"/>
      <c r="TYB59" s="28"/>
      <c r="TYC59" s="28"/>
      <c r="TYD59" s="28"/>
      <c r="TYE59" s="28"/>
      <c r="TYF59" s="28"/>
      <c r="TYG59" s="28"/>
      <c r="TYH59" s="28"/>
      <c r="TYI59" s="28"/>
      <c r="TYJ59" s="28"/>
      <c r="TYK59" s="28"/>
      <c r="TYL59" s="28"/>
      <c r="TYM59" s="28"/>
      <c r="TYN59" s="28"/>
      <c r="TYO59" s="28"/>
      <c r="TYP59" s="28"/>
      <c r="TYQ59" s="28"/>
      <c r="TYR59" s="28"/>
      <c r="TYS59" s="28"/>
      <c r="TYT59" s="28"/>
      <c r="TYU59" s="28"/>
      <c r="TYV59" s="28"/>
      <c r="TYW59" s="28"/>
      <c r="TYX59" s="28"/>
      <c r="TYY59" s="28"/>
      <c r="TYZ59" s="28"/>
      <c r="TZA59" s="28"/>
      <c r="TZB59" s="28"/>
      <c r="TZC59" s="28"/>
      <c r="TZD59" s="28"/>
      <c r="TZE59" s="28"/>
      <c r="TZF59" s="28"/>
      <c r="TZG59" s="28"/>
      <c r="TZH59" s="28"/>
      <c r="TZI59" s="28"/>
      <c r="TZJ59" s="28"/>
      <c r="TZK59" s="28"/>
      <c r="TZL59" s="28"/>
      <c r="TZM59" s="28"/>
      <c r="TZN59" s="28"/>
      <c r="TZO59" s="28"/>
      <c r="TZP59" s="28"/>
      <c r="TZQ59" s="28"/>
      <c r="TZR59" s="28"/>
      <c r="TZS59" s="28"/>
      <c r="TZT59" s="28"/>
      <c r="TZU59" s="28"/>
      <c r="TZV59" s="28"/>
      <c r="TZW59" s="28"/>
      <c r="TZX59" s="28"/>
      <c r="TZY59" s="28"/>
      <c r="TZZ59" s="28"/>
      <c r="UAA59" s="28"/>
      <c r="UAB59" s="28"/>
      <c r="UAC59" s="28"/>
      <c r="UAD59" s="28"/>
      <c r="UAE59" s="28"/>
      <c r="UAF59" s="28"/>
      <c r="UAG59" s="28"/>
      <c r="UAH59" s="28"/>
      <c r="UAI59" s="28"/>
      <c r="UAJ59" s="28"/>
      <c r="UAK59" s="28"/>
      <c r="UAL59" s="28"/>
      <c r="UAM59" s="28"/>
      <c r="UAN59" s="28"/>
      <c r="UAO59" s="28"/>
      <c r="UAP59" s="28"/>
      <c r="UAQ59" s="28"/>
      <c r="UAR59" s="28"/>
      <c r="UAS59" s="28"/>
      <c r="UAT59" s="28"/>
      <c r="UAU59" s="28"/>
      <c r="UAV59" s="28"/>
      <c r="UAW59" s="28"/>
      <c r="UAX59" s="28"/>
      <c r="UAY59" s="28"/>
      <c r="UAZ59" s="28"/>
      <c r="UBA59" s="28"/>
      <c r="UBB59" s="28"/>
      <c r="UBC59" s="28"/>
      <c r="UBD59" s="28"/>
      <c r="UBE59" s="28"/>
      <c r="UBF59" s="28"/>
      <c r="UBG59" s="28"/>
      <c r="UBH59" s="28"/>
      <c r="UBI59" s="28"/>
      <c r="UBJ59" s="28"/>
      <c r="UBK59" s="28"/>
      <c r="UBL59" s="28"/>
      <c r="UBM59" s="28"/>
      <c r="UBN59" s="28"/>
      <c r="UBO59" s="28"/>
      <c r="UBP59" s="28"/>
      <c r="UBQ59" s="28"/>
      <c r="UBR59" s="28"/>
      <c r="UBS59" s="28"/>
      <c r="UBT59" s="28"/>
      <c r="UBU59" s="28"/>
      <c r="UBV59" s="28"/>
      <c r="UBW59" s="28"/>
      <c r="UBX59" s="28"/>
      <c r="UBY59" s="28"/>
      <c r="UBZ59" s="28"/>
      <c r="UCA59" s="28"/>
      <c r="UCB59" s="28"/>
      <c r="UCC59" s="28"/>
      <c r="UCD59" s="28"/>
      <c r="UCE59" s="28"/>
      <c r="UCF59" s="28"/>
      <c r="UCG59" s="28"/>
      <c r="UCH59" s="28"/>
      <c r="UCI59" s="28"/>
      <c r="UCJ59" s="28"/>
      <c r="UCK59" s="28"/>
      <c r="UCL59" s="28"/>
      <c r="UCM59" s="28"/>
      <c r="UCN59" s="28"/>
      <c r="UCO59" s="28"/>
      <c r="UCP59" s="28"/>
      <c r="UCQ59" s="28"/>
      <c r="UCR59" s="28"/>
      <c r="UCS59" s="28"/>
      <c r="UCT59" s="28"/>
      <c r="UCU59" s="28"/>
      <c r="UCV59" s="28"/>
      <c r="UCW59" s="28"/>
      <c r="UCX59" s="28"/>
      <c r="UCY59" s="28"/>
      <c r="UCZ59" s="28"/>
      <c r="UDA59" s="28"/>
      <c r="UDB59" s="28"/>
      <c r="UDC59" s="28"/>
      <c r="UDD59" s="28"/>
      <c r="UDE59" s="28"/>
      <c r="UDF59" s="28"/>
      <c r="UDG59" s="28"/>
      <c r="UDH59" s="28"/>
      <c r="UDI59" s="28"/>
      <c r="UDJ59" s="28"/>
      <c r="UDK59" s="28"/>
      <c r="UDL59" s="28"/>
      <c r="UDM59" s="28"/>
      <c r="UDN59" s="28"/>
      <c r="UDO59" s="28"/>
      <c r="UDP59" s="28"/>
      <c r="UDQ59" s="28"/>
      <c r="UDR59" s="28"/>
      <c r="UDS59" s="28"/>
      <c r="UDT59" s="28"/>
      <c r="UDU59" s="28"/>
      <c r="UDV59" s="28"/>
      <c r="UDW59" s="28"/>
      <c r="UDX59" s="28"/>
      <c r="UDY59" s="28"/>
      <c r="UDZ59" s="28"/>
      <c r="UEA59" s="28"/>
      <c r="UEB59" s="28"/>
      <c r="UEC59" s="28"/>
      <c r="UED59" s="28"/>
      <c r="UEE59" s="28"/>
      <c r="UEF59" s="28"/>
      <c r="UEG59" s="28"/>
      <c r="UEH59" s="28"/>
      <c r="UEI59" s="28"/>
      <c r="UEJ59" s="28"/>
      <c r="UEK59" s="28"/>
      <c r="UEL59" s="28"/>
      <c r="UEM59" s="28"/>
      <c r="UEN59" s="28"/>
      <c r="UEO59" s="28"/>
      <c r="UEP59" s="28"/>
      <c r="UEQ59" s="28"/>
      <c r="UER59" s="28"/>
      <c r="UES59" s="28"/>
      <c r="UET59" s="28"/>
      <c r="UEU59" s="28"/>
      <c r="UEV59" s="28"/>
      <c r="UEW59" s="28"/>
      <c r="UEX59" s="28"/>
      <c r="UEY59" s="28"/>
      <c r="UEZ59" s="28"/>
      <c r="UFA59" s="28"/>
      <c r="UFB59" s="28"/>
      <c r="UFC59" s="28"/>
      <c r="UFD59" s="28"/>
      <c r="UFE59" s="28"/>
      <c r="UFF59" s="28"/>
      <c r="UFG59" s="28"/>
      <c r="UFH59" s="28"/>
      <c r="UFI59" s="28"/>
      <c r="UFJ59" s="28"/>
      <c r="UFK59" s="28"/>
      <c r="UFL59" s="28"/>
      <c r="UFM59" s="28"/>
      <c r="UFN59" s="28"/>
      <c r="UFO59" s="28"/>
      <c r="UFP59" s="28"/>
      <c r="UFQ59" s="28"/>
      <c r="UFR59" s="28"/>
      <c r="UFS59" s="28"/>
      <c r="UFT59" s="28"/>
      <c r="UFU59" s="28"/>
      <c r="UFV59" s="28"/>
      <c r="UFW59" s="28"/>
      <c r="UFX59" s="28"/>
      <c r="UFY59" s="28"/>
      <c r="UFZ59" s="28"/>
      <c r="UGA59" s="28"/>
      <c r="UGB59" s="28"/>
      <c r="UGC59" s="28"/>
      <c r="UGD59" s="28"/>
      <c r="UGE59" s="28"/>
      <c r="UGF59" s="28"/>
      <c r="UGG59" s="28"/>
      <c r="UGH59" s="28"/>
      <c r="UGI59" s="28"/>
      <c r="UGJ59" s="28"/>
      <c r="UGK59" s="28"/>
      <c r="UGL59" s="28"/>
      <c r="UGM59" s="28"/>
      <c r="UGN59" s="28"/>
      <c r="UGO59" s="28"/>
      <c r="UGP59" s="28"/>
      <c r="UGQ59" s="28"/>
      <c r="UGR59" s="28"/>
      <c r="UGS59" s="28"/>
      <c r="UGT59" s="28"/>
      <c r="UGU59" s="28"/>
      <c r="UGV59" s="28"/>
      <c r="UGW59" s="28"/>
      <c r="UGX59" s="28"/>
      <c r="UGY59" s="28"/>
      <c r="UGZ59" s="28"/>
      <c r="UHA59" s="28"/>
      <c r="UHB59" s="28"/>
      <c r="UHC59" s="28"/>
      <c r="UHD59" s="28"/>
      <c r="UHE59" s="28"/>
      <c r="UHF59" s="28"/>
      <c r="UHG59" s="28"/>
      <c r="UHH59" s="28"/>
      <c r="UHI59" s="28"/>
      <c r="UHJ59" s="28"/>
      <c r="UHK59" s="28"/>
      <c r="UHL59" s="28"/>
      <c r="UHM59" s="28"/>
      <c r="UHN59" s="28"/>
      <c r="UHO59" s="28"/>
      <c r="UHP59" s="28"/>
      <c r="UHQ59" s="28"/>
      <c r="UHR59" s="28"/>
      <c r="UHS59" s="28"/>
      <c r="UHT59" s="28"/>
      <c r="UHU59" s="28"/>
      <c r="UHV59" s="28"/>
      <c r="UHW59" s="28"/>
      <c r="UHX59" s="28"/>
      <c r="UHY59" s="28"/>
      <c r="UHZ59" s="28"/>
      <c r="UIA59" s="28"/>
      <c r="UIB59" s="28"/>
      <c r="UIC59" s="28"/>
      <c r="UID59" s="28"/>
      <c r="UIE59" s="28"/>
      <c r="UIF59" s="28"/>
      <c r="UIG59" s="28"/>
      <c r="UIH59" s="28"/>
      <c r="UII59" s="28"/>
      <c r="UIJ59" s="28"/>
      <c r="UIK59" s="28"/>
      <c r="UIL59" s="28"/>
      <c r="UIM59" s="28"/>
      <c r="UIN59" s="28"/>
      <c r="UIO59" s="28"/>
      <c r="UIP59" s="28"/>
      <c r="UIQ59" s="28"/>
      <c r="UIR59" s="28"/>
      <c r="UIS59" s="28"/>
      <c r="UIT59" s="28"/>
      <c r="UIU59" s="28"/>
      <c r="UIV59" s="28"/>
      <c r="UIW59" s="28"/>
      <c r="UIX59" s="28"/>
      <c r="UIY59" s="28"/>
      <c r="UIZ59" s="28"/>
      <c r="UJA59" s="28"/>
      <c r="UJB59" s="28"/>
      <c r="UJC59" s="28"/>
      <c r="UJD59" s="28"/>
      <c r="UJE59" s="28"/>
      <c r="UJF59" s="28"/>
      <c r="UJG59" s="28"/>
      <c r="UJH59" s="28"/>
      <c r="UJI59" s="28"/>
      <c r="UJJ59" s="28"/>
      <c r="UJK59" s="28"/>
      <c r="UJL59" s="28"/>
      <c r="UJM59" s="28"/>
      <c r="UJN59" s="28"/>
      <c r="UJO59" s="28"/>
      <c r="UJP59" s="28"/>
      <c r="UJQ59" s="28"/>
      <c r="UJR59" s="28"/>
      <c r="UJS59" s="28"/>
      <c r="UJT59" s="28"/>
      <c r="UJU59" s="28"/>
      <c r="UJV59" s="28"/>
      <c r="UJW59" s="28"/>
      <c r="UJX59" s="28"/>
      <c r="UJY59" s="28"/>
      <c r="UJZ59" s="28"/>
      <c r="UKA59" s="28"/>
      <c r="UKB59" s="28"/>
      <c r="UKC59" s="28"/>
      <c r="UKD59" s="28"/>
      <c r="UKE59" s="28"/>
      <c r="UKF59" s="28"/>
      <c r="UKG59" s="28"/>
      <c r="UKH59" s="28"/>
      <c r="UKI59" s="28"/>
      <c r="UKJ59" s="28"/>
      <c r="UKK59" s="28"/>
      <c r="UKL59" s="28"/>
      <c r="UKM59" s="28"/>
      <c r="UKN59" s="28"/>
      <c r="UKO59" s="28"/>
      <c r="UKP59" s="28"/>
      <c r="UKQ59" s="28"/>
      <c r="UKR59" s="28"/>
      <c r="UKS59" s="28"/>
      <c r="UKT59" s="28"/>
      <c r="UKU59" s="28"/>
      <c r="UKV59" s="28"/>
      <c r="UKW59" s="28"/>
      <c r="UKX59" s="28"/>
      <c r="UKY59" s="28"/>
      <c r="UKZ59" s="28"/>
      <c r="ULA59" s="28"/>
      <c r="ULB59" s="28"/>
      <c r="ULC59" s="28"/>
      <c r="ULD59" s="28"/>
      <c r="ULE59" s="28"/>
      <c r="ULF59" s="28"/>
      <c r="ULG59" s="28"/>
      <c r="ULH59" s="28"/>
      <c r="ULI59" s="28"/>
      <c r="ULJ59" s="28"/>
      <c r="ULK59" s="28"/>
      <c r="ULL59" s="28"/>
      <c r="ULM59" s="28"/>
      <c r="ULN59" s="28"/>
      <c r="ULO59" s="28"/>
      <c r="ULP59" s="28"/>
      <c r="ULQ59" s="28"/>
      <c r="ULR59" s="28"/>
      <c r="ULS59" s="28"/>
      <c r="ULT59" s="28"/>
      <c r="ULU59" s="28"/>
      <c r="ULV59" s="28"/>
      <c r="ULW59" s="28"/>
      <c r="ULX59" s="28"/>
      <c r="ULY59" s="28"/>
      <c r="ULZ59" s="28"/>
      <c r="UMA59" s="28"/>
      <c r="UMB59" s="28"/>
      <c r="UMC59" s="28"/>
      <c r="UMD59" s="28"/>
      <c r="UME59" s="28"/>
      <c r="UMF59" s="28"/>
      <c r="UMG59" s="28"/>
      <c r="UMH59" s="28"/>
      <c r="UMI59" s="28"/>
      <c r="UMJ59" s="28"/>
      <c r="UMK59" s="28"/>
      <c r="UML59" s="28"/>
      <c r="UMM59" s="28"/>
      <c r="UMN59" s="28"/>
      <c r="UMO59" s="28"/>
      <c r="UMP59" s="28"/>
      <c r="UMQ59" s="28"/>
      <c r="UMR59" s="28"/>
      <c r="UMS59" s="28"/>
      <c r="UMT59" s="28"/>
      <c r="UMU59" s="28"/>
      <c r="UMV59" s="28"/>
      <c r="UMW59" s="28"/>
      <c r="UMX59" s="28"/>
      <c r="UMY59" s="28"/>
      <c r="UMZ59" s="28"/>
      <c r="UNA59" s="28"/>
      <c r="UNB59" s="28"/>
      <c r="UNC59" s="28"/>
      <c r="UND59" s="28"/>
      <c r="UNE59" s="28"/>
      <c r="UNF59" s="28"/>
      <c r="UNG59" s="28"/>
      <c r="UNH59" s="28"/>
      <c r="UNI59" s="28"/>
      <c r="UNJ59" s="28"/>
      <c r="UNK59" s="28"/>
      <c r="UNL59" s="28"/>
      <c r="UNM59" s="28"/>
      <c r="UNN59" s="28"/>
      <c r="UNO59" s="28"/>
      <c r="UNP59" s="28"/>
      <c r="UNQ59" s="28"/>
      <c r="UNR59" s="28"/>
      <c r="UNS59" s="28"/>
      <c r="UNT59" s="28"/>
      <c r="UNU59" s="28"/>
      <c r="UNV59" s="28"/>
      <c r="UNW59" s="28"/>
      <c r="UNX59" s="28"/>
      <c r="UNY59" s="28"/>
      <c r="UNZ59" s="28"/>
      <c r="UOA59" s="28"/>
      <c r="UOB59" s="28"/>
      <c r="UOC59" s="28"/>
      <c r="UOD59" s="28"/>
      <c r="UOE59" s="28"/>
      <c r="UOF59" s="28"/>
      <c r="UOG59" s="28"/>
      <c r="UOH59" s="28"/>
      <c r="UOI59" s="28"/>
      <c r="UOJ59" s="28"/>
      <c r="UOK59" s="28"/>
      <c r="UOL59" s="28"/>
      <c r="UOM59" s="28"/>
      <c r="UON59" s="28"/>
      <c r="UOO59" s="28"/>
      <c r="UOP59" s="28"/>
      <c r="UOQ59" s="28"/>
      <c r="UOR59" s="28"/>
      <c r="UOS59" s="28"/>
      <c r="UOT59" s="28"/>
      <c r="UOU59" s="28"/>
      <c r="UOV59" s="28"/>
      <c r="UOW59" s="28"/>
      <c r="UOX59" s="28"/>
      <c r="UOY59" s="28"/>
      <c r="UOZ59" s="28"/>
      <c r="UPA59" s="28"/>
      <c r="UPB59" s="28"/>
      <c r="UPC59" s="28"/>
      <c r="UPD59" s="28"/>
      <c r="UPE59" s="28"/>
      <c r="UPF59" s="28"/>
      <c r="UPG59" s="28"/>
      <c r="UPH59" s="28"/>
      <c r="UPI59" s="28"/>
      <c r="UPJ59" s="28"/>
      <c r="UPK59" s="28"/>
      <c r="UPL59" s="28"/>
      <c r="UPM59" s="28"/>
      <c r="UPN59" s="28"/>
      <c r="UPO59" s="28"/>
      <c r="UPP59" s="28"/>
      <c r="UPQ59" s="28"/>
      <c r="UPR59" s="28"/>
      <c r="UPS59" s="28"/>
      <c r="UPT59" s="28"/>
      <c r="UPU59" s="28"/>
      <c r="UPV59" s="28"/>
      <c r="UPW59" s="28"/>
      <c r="UPX59" s="28"/>
      <c r="UPY59" s="28"/>
      <c r="UPZ59" s="28"/>
      <c r="UQA59" s="28"/>
      <c r="UQB59" s="28"/>
      <c r="UQC59" s="28"/>
      <c r="UQD59" s="28"/>
      <c r="UQE59" s="28"/>
      <c r="UQF59" s="28"/>
      <c r="UQG59" s="28"/>
      <c r="UQH59" s="28"/>
      <c r="UQI59" s="28"/>
      <c r="UQJ59" s="28"/>
      <c r="UQK59" s="28"/>
      <c r="UQL59" s="28"/>
      <c r="UQM59" s="28"/>
      <c r="UQN59" s="28"/>
      <c r="UQO59" s="28"/>
      <c r="UQP59" s="28"/>
      <c r="UQQ59" s="28"/>
      <c r="UQR59" s="28"/>
      <c r="UQS59" s="28"/>
      <c r="UQT59" s="28"/>
      <c r="UQU59" s="28"/>
      <c r="UQV59" s="28"/>
      <c r="UQW59" s="28"/>
      <c r="UQX59" s="28"/>
      <c r="UQY59" s="28"/>
      <c r="UQZ59" s="28"/>
      <c r="URA59" s="28"/>
      <c r="URB59" s="28"/>
      <c r="URC59" s="28"/>
      <c r="URD59" s="28"/>
      <c r="URE59" s="28"/>
      <c r="URF59" s="28"/>
      <c r="URG59" s="28"/>
      <c r="URH59" s="28"/>
      <c r="URI59" s="28"/>
      <c r="URJ59" s="28"/>
      <c r="URK59" s="28"/>
      <c r="URL59" s="28"/>
      <c r="URM59" s="28"/>
      <c r="URN59" s="28"/>
      <c r="URO59" s="28"/>
      <c r="URP59" s="28"/>
      <c r="URQ59" s="28"/>
      <c r="URR59" s="28"/>
      <c r="URS59" s="28"/>
      <c r="URT59" s="28"/>
      <c r="URU59" s="28"/>
      <c r="URV59" s="28"/>
      <c r="URW59" s="28"/>
      <c r="URX59" s="28"/>
      <c r="URY59" s="28"/>
      <c r="URZ59" s="28"/>
      <c r="USA59" s="28"/>
      <c r="USB59" s="28"/>
      <c r="USC59" s="28"/>
      <c r="USD59" s="28"/>
      <c r="USE59" s="28"/>
      <c r="USF59" s="28"/>
      <c r="USG59" s="28"/>
      <c r="USH59" s="28"/>
      <c r="USI59" s="28"/>
      <c r="USJ59" s="28"/>
      <c r="USK59" s="28"/>
      <c r="USL59" s="28"/>
      <c r="USM59" s="28"/>
      <c r="USN59" s="28"/>
      <c r="USO59" s="28"/>
      <c r="USP59" s="28"/>
      <c r="USQ59" s="28"/>
      <c r="USR59" s="28"/>
      <c r="USS59" s="28"/>
      <c r="UST59" s="28"/>
      <c r="USU59" s="28"/>
      <c r="USV59" s="28"/>
      <c r="USW59" s="28"/>
      <c r="USX59" s="28"/>
      <c r="USY59" s="28"/>
      <c r="USZ59" s="28"/>
      <c r="UTA59" s="28"/>
      <c r="UTB59" s="28"/>
      <c r="UTC59" s="28"/>
      <c r="UTD59" s="28"/>
      <c r="UTE59" s="28"/>
      <c r="UTF59" s="28"/>
      <c r="UTG59" s="28"/>
      <c r="UTH59" s="28"/>
      <c r="UTI59" s="28"/>
      <c r="UTJ59" s="28"/>
      <c r="UTK59" s="28"/>
      <c r="UTL59" s="28"/>
      <c r="UTM59" s="28"/>
      <c r="UTN59" s="28"/>
      <c r="UTO59" s="28"/>
      <c r="UTP59" s="28"/>
      <c r="UTQ59" s="28"/>
      <c r="UTR59" s="28"/>
      <c r="UTS59" s="28"/>
      <c r="UTT59" s="28"/>
      <c r="UTU59" s="28"/>
      <c r="UTV59" s="28"/>
      <c r="UTW59" s="28"/>
      <c r="UTX59" s="28"/>
      <c r="UTY59" s="28"/>
      <c r="UTZ59" s="28"/>
      <c r="UUA59" s="28"/>
      <c r="UUB59" s="28"/>
      <c r="UUC59" s="28"/>
      <c r="UUD59" s="28"/>
      <c r="UUE59" s="28"/>
      <c r="UUF59" s="28"/>
      <c r="UUG59" s="28"/>
      <c r="UUH59" s="28"/>
      <c r="UUI59" s="28"/>
      <c r="UUJ59" s="28"/>
      <c r="UUK59" s="28"/>
      <c r="UUL59" s="28"/>
      <c r="UUM59" s="28"/>
      <c r="UUN59" s="28"/>
      <c r="UUO59" s="28"/>
      <c r="UUP59" s="28"/>
      <c r="UUQ59" s="28"/>
      <c r="UUR59" s="28"/>
      <c r="UUS59" s="28"/>
      <c r="UUT59" s="28"/>
      <c r="UUU59" s="28"/>
      <c r="UUV59" s="28"/>
      <c r="UUW59" s="28"/>
      <c r="UUX59" s="28"/>
      <c r="UUY59" s="28"/>
      <c r="UUZ59" s="28"/>
      <c r="UVA59" s="28"/>
      <c r="UVB59" s="28"/>
      <c r="UVC59" s="28"/>
      <c r="UVD59" s="28"/>
      <c r="UVE59" s="28"/>
      <c r="UVF59" s="28"/>
      <c r="UVG59" s="28"/>
      <c r="UVH59" s="28"/>
      <c r="UVI59" s="28"/>
      <c r="UVJ59" s="28"/>
      <c r="UVK59" s="28"/>
      <c r="UVL59" s="28"/>
      <c r="UVM59" s="28"/>
      <c r="UVN59" s="28"/>
      <c r="UVO59" s="28"/>
      <c r="UVP59" s="28"/>
      <c r="UVQ59" s="28"/>
      <c r="UVR59" s="28"/>
      <c r="UVS59" s="28"/>
      <c r="UVT59" s="28"/>
      <c r="UVU59" s="28"/>
      <c r="UVV59" s="28"/>
      <c r="UVW59" s="28"/>
      <c r="UVX59" s="28"/>
      <c r="UVY59" s="28"/>
      <c r="UVZ59" s="28"/>
      <c r="UWA59" s="28"/>
      <c r="UWB59" s="28"/>
      <c r="UWC59" s="28"/>
      <c r="UWD59" s="28"/>
      <c r="UWE59" s="28"/>
      <c r="UWF59" s="28"/>
      <c r="UWG59" s="28"/>
      <c r="UWH59" s="28"/>
      <c r="UWI59" s="28"/>
      <c r="UWJ59" s="28"/>
      <c r="UWK59" s="28"/>
      <c r="UWL59" s="28"/>
      <c r="UWM59" s="28"/>
      <c r="UWN59" s="28"/>
      <c r="UWO59" s="28"/>
      <c r="UWP59" s="28"/>
      <c r="UWQ59" s="28"/>
      <c r="UWR59" s="28"/>
      <c r="UWS59" s="28"/>
      <c r="UWT59" s="28"/>
      <c r="UWU59" s="28"/>
      <c r="UWV59" s="28"/>
      <c r="UWW59" s="28"/>
      <c r="UWX59" s="28"/>
      <c r="UWY59" s="28"/>
      <c r="UWZ59" s="28"/>
      <c r="UXA59" s="28"/>
      <c r="UXB59" s="28"/>
      <c r="UXC59" s="28"/>
      <c r="UXD59" s="28"/>
      <c r="UXE59" s="28"/>
      <c r="UXF59" s="28"/>
      <c r="UXG59" s="28"/>
      <c r="UXH59" s="28"/>
      <c r="UXI59" s="28"/>
      <c r="UXJ59" s="28"/>
      <c r="UXK59" s="28"/>
      <c r="UXL59" s="28"/>
      <c r="UXM59" s="28"/>
      <c r="UXN59" s="28"/>
      <c r="UXO59" s="28"/>
      <c r="UXP59" s="28"/>
      <c r="UXQ59" s="28"/>
      <c r="UXR59" s="28"/>
      <c r="UXS59" s="28"/>
      <c r="UXT59" s="28"/>
      <c r="UXU59" s="28"/>
      <c r="UXV59" s="28"/>
      <c r="UXW59" s="28"/>
      <c r="UXX59" s="28"/>
      <c r="UXY59" s="28"/>
      <c r="UXZ59" s="28"/>
      <c r="UYA59" s="28"/>
      <c r="UYB59" s="28"/>
      <c r="UYC59" s="28"/>
      <c r="UYD59" s="28"/>
      <c r="UYE59" s="28"/>
      <c r="UYF59" s="28"/>
      <c r="UYG59" s="28"/>
      <c r="UYH59" s="28"/>
      <c r="UYI59" s="28"/>
      <c r="UYJ59" s="28"/>
      <c r="UYK59" s="28"/>
      <c r="UYL59" s="28"/>
      <c r="UYM59" s="28"/>
      <c r="UYN59" s="28"/>
      <c r="UYO59" s="28"/>
      <c r="UYP59" s="28"/>
      <c r="UYQ59" s="28"/>
      <c r="UYR59" s="28"/>
      <c r="UYS59" s="28"/>
      <c r="UYT59" s="28"/>
      <c r="UYU59" s="28"/>
      <c r="UYV59" s="28"/>
      <c r="UYW59" s="28"/>
      <c r="UYX59" s="28"/>
      <c r="UYY59" s="28"/>
      <c r="UYZ59" s="28"/>
      <c r="UZA59" s="28"/>
      <c r="UZB59" s="28"/>
      <c r="UZC59" s="28"/>
      <c r="UZD59" s="28"/>
      <c r="UZE59" s="28"/>
      <c r="UZF59" s="28"/>
      <c r="UZG59" s="28"/>
      <c r="UZH59" s="28"/>
      <c r="UZI59" s="28"/>
      <c r="UZJ59" s="28"/>
      <c r="UZK59" s="28"/>
      <c r="UZL59" s="28"/>
      <c r="UZM59" s="28"/>
      <c r="UZN59" s="28"/>
      <c r="UZO59" s="28"/>
      <c r="UZP59" s="28"/>
      <c r="UZQ59" s="28"/>
      <c r="UZR59" s="28"/>
      <c r="UZS59" s="28"/>
      <c r="UZT59" s="28"/>
      <c r="UZU59" s="28"/>
      <c r="UZV59" s="28"/>
      <c r="UZW59" s="28"/>
      <c r="UZX59" s="28"/>
      <c r="UZY59" s="28"/>
      <c r="UZZ59" s="28"/>
      <c r="VAA59" s="28"/>
      <c r="VAB59" s="28"/>
      <c r="VAC59" s="28"/>
      <c r="VAD59" s="28"/>
      <c r="VAE59" s="28"/>
      <c r="VAF59" s="28"/>
      <c r="VAG59" s="28"/>
      <c r="VAH59" s="28"/>
      <c r="VAI59" s="28"/>
      <c r="VAJ59" s="28"/>
      <c r="VAK59" s="28"/>
      <c r="VAL59" s="28"/>
      <c r="VAM59" s="28"/>
      <c r="VAN59" s="28"/>
      <c r="VAO59" s="28"/>
      <c r="VAP59" s="28"/>
      <c r="VAQ59" s="28"/>
      <c r="VAR59" s="28"/>
      <c r="VAS59" s="28"/>
      <c r="VAT59" s="28"/>
      <c r="VAU59" s="28"/>
      <c r="VAV59" s="28"/>
      <c r="VAW59" s="28"/>
      <c r="VAX59" s="28"/>
      <c r="VAY59" s="28"/>
      <c r="VAZ59" s="28"/>
      <c r="VBA59" s="28"/>
      <c r="VBB59" s="28"/>
      <c r="VBC59" s="28"/>
      <c r="VBD59" s="28"/>
      <c r="VBE59" s="28"/>
      <c r="VBF59" s="28"/>
      <c r="VBG59" s="28"/>
      <c r="VBH59" s="28"/>
      <c r="VBI59" s="28"/>
      <c r="VBJ59" s="28"/>
      <c r="VBK59" s="28"/>
      <c r="VBL59" s="28"/>
      <c r="VBM59" s="28"/>
      <c r="VBN59" s="28"/>
      <c r="VBO59" s="28"/>
      <c r="VBP59" s="28"/>
      <c r="VBQ59" s="28"/>
      <c r="VBR59" s="28"/>
      <c r="VBS59" s="28"/>
      <c r="VBT59" s="28"/>
      <c r="VBU59" s="28"/>
      <c r="VBV59" s="28"/>
      <c r="VBW59" s="28"/>
      <c r="VBX59" s="28"/>
      <c r="VBY59" s="28"/>
      <c r="VBZ59" s="28"/>
      <c r="VCA59" s="28"/>
      <c r="VCB59" s="28"/>
      <c r="VCC59" s="28"/>
      <c r="VCD59" s="28"/>
      <c r="VCE59" s="28"/>
      <c r="VCF59" s="28"/>
      <c r="VCG59" s="28"/>
      <c r="VCH59" s="28"/>
      <c r="VCI59" s="28"/>
      <c r="VCJ59" s="28"/>
      <c r="VCK59" s="28"/>
      <c r="VCL59" s="28"/>
      <c r="VCM59" s="28"/>
      <c r="VCN59" s="28"/>
      <c r="VCO59" s="28"/>
      <c r="VCP59" s="28"/>
      <c r="VCQ59" s="28"/>
      <c r="VCR59" s="28"/>
      <c r="VCS59" s="28"/>
      <c r="VCT59" s="28"/>
      <c r="VCU59" s="28"/>
      <c r="VCV59" s="28"/>
      <c r="VCW59" s="28"/>
      <c r="VCX59" s="28"/>
      <c r="VCY59" s="28"/>
      <c r="VCZ59" s="28"/>
      <c r="VDA59" s="28"/>
      <c r="VDB59" s="28"/>
      <c r="VDC59" s="28"/>
      <c r="VDD59" s="28"/>
      <c r="VDE59" s="28"/>
      <c r="VDF59" s="28"/>
      <c r="VDG59" s="28"/>
      <c r="VDH59" s="28"/>
      <c r="VDI59" s="28"/>
      <c r="VDJ59" s="28"/>
      <c r="VDK59" s="28"/>
      <c r="VDL59" s="28"/>
      <c r="VDM59" s="28"/>
      <c r="VDN59" s="28"/>
      <c r="VDO59" s="28"/>
      <c r="VDP59" s="28"/>
      <c r="VDQ59" s="28"/>
      <c r="VDR59" s="28"/>
      <c r="VDS59" s="28"/>
      <c r="VDT59" s="28"/>
      <c r="VDU59" s="28"/>
      <c r="VDV59" s="28"/>
      <c r="VDW59" s="28"/>
      <c r="VDX59" s="28"/>
      <c r="VDY59" s="28"/>
      <c r="VDZ59" s="28"/>
      <c r="VEA59" s="28"/>
      <c r="VEB59" s="28"/>
      <c r="VEC59" s="28"/>
      <c r="VED59" s="28"/>
      <c r="VEE59" s="28"/>
      <c r="VEF59" s="28"/>
      <c r="VEG59" s="28"/>
      <c r="VEH59" s="28"/>
      <c r="VEI59" s="28"/>
      <c r="VEJ59" s="28"/>
      <c r="VEK59" s="28"/>
      <c r="VEL59" s="28"/>
      <c r="VEM59" s="28"/>
      <c r="VEN59" s="28"/>
      <c r="VEO59" s="28"/>
      <c r="VEP59" s="28"/>
      <c r="VEQ59" s="28"/>
      <c r="VER59" s="28"/>
      <c r="VES59" s="28"/>
      <c r="VET59" s="28"/>
      <c r="VEU59" s="28"/>
      <c r="VEV59" s="28"/>
      <c r="VEW59" s="28"/>
      <c r="VEX59" s="28"/>
      <c r="VEY59" s="28"/>
      <c r="VEZ59" s="28"/>
      <c r="VFA59" s="28"/>
      <c r="VFB59" s="28"/>
      <c r="VFC59" s="28"/>
      <c r="VFD59" s="28"/>
      <c r="VFE59" s="28"/>
      <c r="VFF59" s="28"/>
      <c r="VFG59" s="28"/>
      <c r="VFH59" s="28"/>
      <c r="VFI59" s="28"/>
      <c r="VFJ59" s="28"/>
      <c r="VFK59" s="28"/>
      <c r="VFL59" s="28"/>
      <c r="VFM59" s="28"/>
      <c r="VFN59" s="28"/>
      <c r="VFO59" s="28"/>
      <c r="VFP59" s="28"/>
      <c r="VFQ59" s="28"/>
      <c r="VFR59" s="28"/>
      <c r="VFS59" s="28"/>
      <c r="VFT59" s="28"/>
      <c r="VFU59" s="28"/>
      <c r="VFV59" s="28"/>
      <c r="VFW59" s="28"/>
      <c r="VFX59" s="28"/>
      <c r="VFY59" s="28"/>
      <c r="VFZ59" s="28"/>
      <c r="VGA59" s="28"/>
      <c r="VGB59" s="28"/>
      <c r="VGC59" s="28"/>
      <c r="VGD59" s="28"/>
      <c r="VGE59" s="28"/>
      <c r="VGF59" s="28"/>
      <c r="VGG59" s="28"/>
      <c r="VGH59" s="28"/>
      <c r="VGI59" s="28"/>
      <c r="VGJ59" s="28"/>
      <c r="VGK59" s="28"/>
      <c r="VGL59" s="28"/>
      <c r="VGM59" s="28"/>
      <c r="VGN59" s="28"/>
      <c r="VGO59" s="28"/>
      <c r="VGP59" s="28"/>
      <c r="VGQ59" s="28"/>
      <c r="VGR59" s="28"/>
      <c r="VGS59" s="28"/>
      <c r="VGT59" s="28"/>
      <c r="VGU59" s="28"/>
      <c r="VGV59" s="28"/>
      <c r="VGW59" s="28"/>
      <c r="VGX59" s="28"/>
      <c r="VGY59" s="28"/>
      <c r="VGZ59" s="28"/>
      <c r="VHA59" s="28"/>
      <c r="VHB59" s="28"/>
      <c r="VHC59" s="28"/>
      <c r="VHD59" s="28"/>
      <c r="VHE59" s="28"/>
      <c r="VHF59" s="28"/>
      <c r="VHG59" s="28"/>
      <c r="VHH59" s="28"/>
      <c r="VHI59" s="28"/>
      <c r="VHJ59" s="28"/>
      <c r="VHK59" s="28"/>
      <c r="VHL59" s="28"/>
      <c r="VHM59" s="28"/>
      <c r="VHN59" s="28"/>
      <c r="VHO59" s="28"/>
      <c r="VHP59" s="28"/>
      <c r="VHQ59" s="28"/>
      <c r="VHR59" s="28"/>
      <c r="VHS59" s="28"/>
      <c r="VHT59" s="28"/>
      <c r="VHU59" s="28"/>
      <c r="VHV59" s="28"/>
      <c r="VHW59" s="28"/>
      <c r="VHX59" s="28"/>
      <c r="VHY59" s="28"/>
      <c r="VHZ59" s="28"/>
      <c r="VIA59" s="28"/>
      <c r="VIB59" s="28"/>
      <c r="VIC59" s="28"/>
      <c r="VID59" s="28"/>
      <c r="VIE59" s="28"/>
      <c r="VIF59" s="28"/>
      <c r="VIG59" s="28"/>
      <c r="VIH59" s="28"/>
      <c r="VII59" s="28"/>
      <c r="VIJ59" s="28"/>
      <c r="VIK59" s="28"/>
      <c r="VIL59" s="28"/>
      <c r="VIM59" s="28"/>
      <c r="VIN59" s="28"/>
      <c r="VIO59" s="28"/>
      <c r="VIP59" s="28"/>
      <c r="VIQ59" s="28"/>
      <c r="VIR59" s="28"/>
      <c r="VIS59" s="28"/>
      <c r="VIT59" s="28"/>
      <c r="VIU59" s="28"/>
      <c r="VIV59" s="28"/>
      <c r="VIW59" s="28"/>
      <c r="VIX59" s="28"/>
      <c r="VIY59" s="28"/>
      <c r="VIZ59" s="28"/>
      <c r="VJA59" s="28"/>
      <c r="VJB59" s="28"/>
      <c r="VJC59" s="28"/>
      <c r="VJD59" s="28"/>
      <c r="VJE59" s="28"/>
      <c r="VJF59" s="28"/>
      <c r="VJG59" s="28"/>
      <c r="VJH59" s="28"/>
      <c r="VJI59" s="28"/>
      <c r="VJJ59" s="28"/>
      <c r="VJK59" s="28"/>
      <c r="VJL59" s="28"/>
      <c r="VJM59" s="28"/>
      <c r="VJN59" s="28"/>
      <c r="VJO59" s="28"/>
      <c r="VJP59" s="28"/>
      <c r="VJQ59" s="28"/>
      <c r="VJR59" s="28"/>
      <c r="VJS59" s="28"/>
      <c r="VJT59" s="28"/>
      <c r="VJU59" s="28"/>
      <c r="VJV59" s="28"/>
      <c r="VJW59" s="28"/>
      <c r="VJX59" s="28"/>
      <c r="VJY59" s="28"/>
      <c r="VJZ59" s="28"/>
      <c r="VKA59" s="28"/>
      <c r="VKB59" s="28"/>
      <c r="VKC59" s="28"/>
      <c r="VKD59" s="28"/>
      <c r="VKE59" s="28"/>
      <c r="VKF59" s="28"/>
      <c r="VKG59" s="28"/>
      <c r="VKH59" s="28"/>
      <c r="VKI59" s="28"/>
      <c r="VKJ59" s="28"/>
      <c r="VKK59" s="28"/>
      <c r="VKL59" s="28"/>
      <c r="VKM59" s="28"/>
      <c r="VKN59" s="28"/>
      <c r="VKO59" s="28"/>
      <c r="VKP59" s="28"/>
      <c r="VKQ59" s="28"/>
      <c r="VKR59" s="28"/>
      <c r="VKS59" s="28"/>
      <c r="VKT59" s="28"/>
      <c r="VKU59" s="28"/>
      <c r="VKV59" s="28"/>
      <c r="VKW59" s="28"/>
      <c r="VKX59" s="28"/>
      <c r="VKY59" s="28"/>
      <c r="VKZ59" s="28"/>
      <c r="VLA59" s="28"/>
      <c r="VLB59" s="28"/>
      <c r="VLC59" s="28"/>
      <c r="VLD59" s="28"/>
      <c r="VLE59" s="28"/>
      <c r="VLF59" s="28"/>
      <c r="VLG59" s="28"/>
      <c r="VLH59" s="28"/>
      <c r="VLI59" s="28"/>
      <c r="VLJ59" s="28"/>
      <c r="VLK59" s="28"/>
      <c r="VLL59" s="28"/>
      <c r="VLM59" s="28"/>
      <c r="VLN59" s="28"/>
      <c r="VLO59" s="28"/>
      <c r="VLP59" s="28"/>
      <c r="VLQ59" s="28"/>
      <c r="VLR59" s="28"/>
      <c r="VLS59" s="28"/>
      <c r="VLT59" s="28"/>
      <c r="VLU59" s="28"/>
      <c r="VLV59" s="28"/>
      <c r="VLW59" s="28"/>
      <c r="VLX59" s="28"/>
      <c r="VLY59" s="28"/>
      <c r="VLZ59" s="28"/>
      <c r="VMA59" s="28"/>
      <c r="VMB59" s="28"/>
      <c r="VMC59" s="28"/>
      <c r="VMD59" s="28"/>
      <c r="VME59" s="28"/>
      <c r="VMF59" s="28"/>
      <c r="VMG59" s="28"/>
      <c r="VMH59" s="28"/>
      <c r="VMI59" s="28"/>
      <c r="VMJ59" s="28"/>
      <c r="VMK59" s="28"/>
      <c r="VML59" s="28"/>
      <c r="VMM59" s="28"/>
      <c r="VMN59" s="28"/>
      <c r="VMO59" s="28"/>
      <c r="VMP59" s="28"/>
      <c r="VMQ59" s="28"/>
      <c r="VMR59" s="28"/>
      <c r="VMS59" s="28"/>
      <c r="VMT59" s="28"/>
      <c r="VMU59" s="28"/>
      <c r="VMV59" s="28"/>
      <c r="VMW59" s="28"/>
      <c r="VMX59" s="28"/>
      <c r="VMY59" s="28"/>
      <c r="VMZ59" s="28"/>
      <c r="VNA59" s="28"/>
      <c r="VNB59" s="28"/>
      <c r="VNC59" s="28"/>
      <c r="VND59" s="28"/>
      <c r="VNE59" s="28"/>
      <c r="VNF59" s="28"/>
      <c r="VNG59" s="28"/>
      <c r="VNH59" s="28"/>
      <c r="VNI59" s="28"/>
      <c r="VNJ59" s="28"/>
      <c r="VNK59" s="28"/>
      <c r="VNL59" s="28"/>
      <c r="VNM59" s="28"/>
      <c r="VNN59" s="28"/>
      <c r="VNO59" s="28"/>
      <c r="VNP59" s="28"/>
      <c r="VNQ59" s="28"/>
      <c r="VNR59" s="28"/>
      <c r="VNS59" s="28"/>
      <c r="VNT59" s="28"/>
      <c r="VNU59" s="28"/>
      <c r="VNV59" s="28"/>
      <c r="VNW59" s="28"/>
      <c r="VNX59" s="28"/>
      <c r="VNY59" s="28"/>
      <c r="VNZ59" s="28"/>
      <c r="VOA59" s="28"/>
      <c r="VOB59" s="28"/>
      <c r="VOC59" s="28"/>
      <c r="VOD59" s="28"/>
      <c r="VOE59" s="28"/>
      <c r="VOF59" s="28"/>
      <c r="VOG59" s="28"/>
      <c r="VOH59" s="28"/>
      <c r="VOI59" s="28"/>
      <c r="VOJ59" s="28"/>
      <c r="VOK59" s="28"/>
      <c r="VOL59" s="28"/>
      <c r="VOM59" s="28"/>
      <c r="VON59" s="28"/>
      <c r="VOO59" s="28"/>
      <c r="VOP59" s="28"/>
      <c r="VOQ59" s="28"/>
      <c r="VOR59" s="28"/>
      <c r="VOS59" s="28"/>
      <c r="VOT59" s="28"/>
      <c r="VOU59" s="28"/>
      <c r="VOV59" s="28"/>
      <c r="VOW59" s="28"/>
      <c r="VOX59" s="28"/>
      <c r="VOY59" s="28"/>
      <c r="VOZ59" s="28"/>
      <c r="VPA59" s="28"/>
      <c r="VPB59" s="28"/>
      <c r="VPC59" s="28"/>
      <c r="VPD59" s="28"/>
      <c r="VPE59" s="28"/>
      <c r="VPF59" s="28"/>
      <c r="VPG59" s="28"/>
      <c r="VPH59" s="28"/>
      <c r="VPI59" s="28"/>
      <c r="VPJ59" s="28"/>
      <c r="VPK59" s="28"/>
      <c r="VPL59" s="28"/>
      <c r="VPM59" s="28"/>
      <c r="VPN59" s="28"/>
      <c r="VPO59" s="28"/>
      <c r="VPP59" s="28"/>
      <c r="VPQ59" s="28"/>
      <c r="VPR59" s="28"/>
      <c r="VPS59" s="28"/>
      <c r="VPT59" s="28"/>
      <c r="VPU59" s="28"/>
      <c r="VPV59" s="28"/>
      <c r="VPW59" s="28"/>
      <c r="VPX59" s="28"/>
      <c r="VPY59" s="28"/>
      <c r="VPZ59" s="28"/>
      <c r="VQA59" s="28"/>
      <c r="VQB59" s="28"/>
      <c r="VQC59" s="28"/>
      <c r="VQD59" s="28"/>
      <c r="VQE59" s="28"/>
      <c r="VQF59" s="28"/>
      <c r="VQG59" s="28"/>
      <c r="VQH59" s="28"/>
      <c r="VQI59" s="28"/>
      <c r="VQJ59" s="28"/>
      <c r="VQK59" s="28"/>
      <c r="VQL59" s="28"/>
      <c r="VQM59" s="28"/>
      <c r="VQN59" s="28"/>
      <c r="VQO59" s="28"/>
      <c r="VQP59" s="28"/>
      <c r="VQQ59" s="28"/>
      <c r="VQR59" s="28"/>
      <c r="VQS59" s="28"/>
      <c r="VQT59" s="28"/>
      <c r="VQU59" s="28"/>
      <c r="VQV59" s="28"/>
      <c r="VQW59" s="28"/>
      <c r="VQX59" s="28"/>
      <c r="VQY59" s="28"/>
      <c r="VQZ59" s="28"/>
      <c r="VRA59" s="28"/>
      <c r="VRB59" s="28"/>
      <c r="VRC59" s="28"/>
      <c r="VRD59" s="28"/>
      <c r="VRE59" s="28"/>
      <c r="VRF59" s="28"/>
      <c r="VRG59" s="28"/>
      <c r="VRH59" s="28"/>
      <c r="VRI59" s="28"/>
      <c r="VRJ59" s="28"/>
      <c r="VRK59" s="28"/>
      <c r="VRL59" s="28"/>
      <c r="VRM59" s="28"/>
      <c r="VRN59" s="28"/>
      <c r="VRO59" s="28"/>
      <c r="VRP59" s="28"/>
      <c r="VRQ59" s="28"/>
      <c r="VRR59" s="28"/>
      <c r="VRS59" s="28"/>
      <c r="VRT59" s="28"/>
      <c r="VRU59" s="28"/>
      <c r="VRV59" s="28"/>
      <c r="VRW59" s="28"/>
      <c r="VRX59" s="28"/>
      <c r="VRY59" s="28"/>
      <c r="VRZ59" s="28"/>
      <c r="VSA59" s="28"/>
      <c r="VSB59" s="28"/>
      <c r="VSC59" s="28"/>
      <c r="VSD59" s="28"/>
      <c r="VSE59" s="28"/>
      <c r="VSF59" s="28"/>
      <c r="VSG59" s="28"/>
      <c r="VSH59" s="28"/>
      <c r="VSI59" s="28"/>
      <c r="VSJ59" s="28"/>
      <c r="VSK59" s="28"/>
      <c r="VSL59" s="28"/>
      <c r="VSM59" s="28"/>
      <c r="VSN59" s="28"/>
      <c r="VSO59" s="28"/>
      <c r="VSP59" s="28"/>
      <c r="VSQ59" s="28"/>
      <c r="VSR59" s="28"/>
      <c r="VSS59" s="28"/>
      <c r="VST59" s="28"/>
      <c r="VSU59" s="28"/>
      <c r="VSV59" s="28"/>
      <c r="VSW59" s="28"/>
      <c r="VSX59" s="28"/>
      <c r="VSY59" s="28"/>
      <c r="VSZ59" s="28"/>
      <c r="VTA59" s="28"/>
      <c r="VTB59" s="28"/>
      <c r="VTC59" s="28"/>
      <c r="VTD59" s="28"/>
      <c r="VTE59" s="28"/>
      <c r="VTF59" s="28"/>
      <c r="VTG59" s="28"/>
      <c r="VTH59" s="28"/>
      <c r="VTI59" s="28"/>
      <c r="VTJ59" s="28"/>
      <c r="VTK59" s="28"/>
      <c r="VTL59" s="28"/>
      <c r="VTM59" s="28"/>
      <c r="VTN59" s="28"/>
      <c r="VTO59" s="28"/>
      <c r="VTP59" s="28"/>
      <c r="VTQ59" s="28"/>
      <c r="VTR59" s="28"/>
      <c r="VTS59" s="28"/>
      <c r="VTT59" s="28"/>
      <c r="VTU59" s="28"/>
      <c r="VTV59" s="28"/>
      <c r="VTW59" s="28"/>
      <c r="VTX59" s="28"/>
      <c r="VTY59" s="28"/>
      <c r="VTZ59" s="28"/>
      <c r="VUA59" s="28"/>
      <c r="VUB59" s="28"/>
      <c r="VUC59" s="28"/>
      <c r="VUD59" s="28"/>
      <c r="VUE59" s="28"/>
      <c r="VUF59" s="28"/>
      <c r="VUG59" s="28"/>
      <c r="VUH59" s="28"/>
      <c r="VUI59" s="28"/>
      <c r="VUJ59" s="28"/>
      <c r="VUK59" s="28"/>
      <c r="VUL59" s="28"/>
      <c r="VUM59" s="28"/>
      <c r="VUN59" s="28"/>
      <c r="VUO59" s="28"/>
      <c r="VUP59" s="28"/>
      <c r="VUQ59" s="28"/>
      <c r="VUR59" s="28"/>
      <c r="VUS59" s="28"/>
      <c r="VUT59" s="28"/>
      <c r="VUU59" s="28"/>
      <c r="VUV59" s="28"/>
      <c r="VUW59" s="28"/>
      <c r="VUX59" s="28"/>
      <c r="VUY59" s="28"/>
      <c r="VUZ59" s="28"/>
      <c r="VVA59" s="28"/>
      <c r="VVB59" s="28"/>
      <c r="VVC59" s="28"/>
      <c r="VVD59" s="28"/>
      <c r="VVE59" s="28"/>
      <c r="VVF59" s="28"/>
      <c r="VVG59" s="28"/>
      <c r="VVH59" s="28"/>
      <c r="VVI59" s="28"/>
      <c r="VVJ59" s="28"/>
      <c r="VVK59" s="28"/>
      <c r="VVL59" s="28"/>
      <c r="VVM59" s="28"/>
      <c r="VVN59" s="28"/>
      <c r="VVO59" s="28"/>
      <c r="VVP59" s="28"/>
      <c r="VVQ59" s="28"/>
      <c r="VVR59" s="28"/>
      <c r="VVS59" s="28"/>
      <c r="VVT59" s="28"/>
      <c r="VVU59" s="28"/>
      <c r="VVV59" s="28"/>
      <c r="VVW59" s="28"/>
      <c r="VVX59" s="28"/>
      <c r="VVY59" s="28"/>
      <c r="VVZ59" s="28"/>
      <c r="VWA59" s="28"/>
      <c r="VWB59" s="28"/>
      <c r="VWC59" s="28"/>
      <c r="VWD59" s="28"/>
      <c r="VWE59" s="28"/>
      <c r="VWF59" s="28"/>
      <c r="VWG59" s="28"/>
      <c r="VWH59" s="28"/>
      <c r="VWI59" s="28"/>
      <c r="VWJ59" s="28"/>
      <c r="VWK59" s="28"/>
      <c r="VWL59" s="28"/>
      <c r="VWM59" s="28"/>
      <c r="VWN59" s="28"/>
      <c r="VWO59" s="28"/>
      <c r="VWP59" s="28"/>
      <c r="VWQ59" s="28"/>
      <c r="VWR59" s="28"/>
      <c r="VWS59" s="28"/>
      <c r="VWT59" s="28"/>
      <c r="VWU59" s="28"/>
      <c r="VWV59" s="28"/>
      <c r="VWW59" s="28"/>
      <c r="VWX59" s="28"/>
      <c r="VWY59" s="28"/>
      <c r="VWZ59" s="28"/>
      <c r="VXA59" s="28"/>
      <c r="VXB59" s="28"/>
      <c r="VXC59" s="28"/>
      <c r="VXD59" s="28"/>
      <c r="VXE59" s="28"/>
      <c r="VXF59" s="28"/>
      <c r="VXG59" s="28"/>
      <c r="VXH59" s="28"/>
      <c r="VXI59" s="28"/>
      <c r="VXJ59" s="28"/>
      <c r="VXK59" s="28"/>
      <c r="VXL59" s="28"/>
      <c r="VXM59" s="28"/>
      <c r="VXN59" s="28"/>
      <c r="VXO59" s="28"/>
      <c r="VXP59" s="28"/>
      <c r="VXQ59" s="28"/>
      <c r="VXR59" s="28"/>
      <c r="VXS59" s="28"/>
      <c r="VXT59" s="28"/>
      <c r="VXU59" s="28"/>
      <c r="VXV59" s="28"/>
      <c r="VXW59" s="28"/>
      <c r="VXX59" s="28"/>
      <c r="VXY59" s="28"/>
      <c r="VXZ59" s="28"/>
      <c r="VYA59" s="28"/>
      <c r="VYB59" s="28"/>
      <c r="VYC59" s="28"/>
      <c r="VYD59" s="28"/>
      <c r="VYE59" s="28"/>
      <c r="VYF59" s="28"/>
      <c r="VYG59" s="28"/>
      <c r="VYH59" s="28"/>
      <c r="VYI59" s="28"/>
      <c r="VYJ59" s="28"/>
      <c r="VYK59" s="28"/>
      <c r="VYL59" s="28"/>
      <c r="VYM59" s="28"/>
      <c r="VYN59" s="28"/>
      <c r="VYO59" s="28"/>
      <c r="VYP59" s="28"/>
      <c r="VYQ59" s="28"/>
      <c r="VYR59" s="28"/>
      <c r="VYS59" s="28"/>
      <c r="VYT59" s="28"/>
      <c r="VYU59" s="28"/>
      <c r="VYV59" s="28"/>
      <c r="VYW59" s="28"/>
      <c r="VYX59" s="28"/>
      <c r="VYY59" s="28"/>
      <c r="VYZ59" s="28"/>
      <c r="VZA59" s="28"/>
      <c r="VZB59" s="28"/>
      <c r="VZC59" s="28"/>
      <c r="VZD59" s="28"/>
      <c r="VZE59" s="28"/>
      <c r="VZF59" s="28"/>
      <c r="VZG59" s="28"/>
      <c r="VZH59" s="28"/>
      <c r="VZI59" s="28"/>
      <c r="VZJ59" s="28"/>
      <c r="VZK59" s="28"/>
      <c r="VZL59" s="28"/>
      <c r="VZM59" s="28"/>
      <c r="VZN59" s="28"/>
      <c r="VZO59" s="28"/>
      <c r="VZP59" s="28"/>
      <c r="VZQ59" s="28"/>
      <c r="VZR59" s="28"/>
      <c r="VZS59" s="28"/>
      <c r="VZT59" s="28"/>
      <c r="VZU59" s="28"/>
      <c r="VZV59" s="28"/>
      <c r="VZW59" s="28"/>
      <c r="VZX59" s="28"/>
      <c r="VZY59" s="28"/>
      <c r="VZZ59" s="28"/>
      <c r="WAA59" s="28"/>
      <c r="WAB59" s="28"/>
      <c r="WAC59" s="28"/>
      <c r="WAD59" s="28"/>
      <c r="WAE59" s="28"/>
      <c r="WAF59" s="28"/>
      <c r="WAG59" s="28"/>
      <c r="WAH59" s="28"/>
      <c r="WAI59" s="28"/>
      <c r="WAJ59" s="28"/>
      <c r="WAK59" s="28"/>
      <c r="WAL59" s="28"/>
      <c r="WAM59" s="28"/>
      <c r="WAN59" s="28"/>
      <c r="WAO59" s="28"/>
      <c r="WAP59" s="28"/>
      <c r="WAQ59" s="28"/>
      <c r="WAR59" s="28"/>
      <c r="WAS59" s="28"/>
      <c r="WAT59" s="28"/>
      <c r="WAU59" s="28"/>
      <c r="WAV59" s="28"/>
      <c r="WAW59" s="28"/>
      <c r="WAX59" s="28"/>
      <c r="WAY59" s="28"/>
      <c r="WAZ59" s="28"/>
      <c r="WBA59" s="28"/>
      <c r="WBB59" s="28"/>
      <c r="WBC59" s="28"/>
      <c r="WBD59" s="28"/>
      <c r="WBE59" s="28"/>
      <c r="WBF59" s="28"/>
      <c r="WBG59" s="28"/>
      <c r="WBH59" s="28"/>
      <c r="WBI59" s="28"/>
      <c r="WBJ59" s="28"/>
      <c r="WBK59" s="28"/>
      <c r="WBL59" s="28"/>
      <c r="WBM59" s="28"/>
      <c r="WBN59" s="28"/>
      <c r="WBO59" s="28"/>
      <c r="WBP59" s="28"/>
      <c r="WBQ59" s="28"/>
      <c r="WBR59" s="28"/>
      <c r="WBS59" s="28"/>
      <c r="WBT59" s="28"/>
      <c r="WBU59" s="28"/>
      <c r="WBV59" s="28"/>
      <c r="WBW59" s="28"/>
      <c r="WBX59" s="28"/>
      <c r="WBY59" s="28"/>
      <c r="WBZ59" s="28"/>
      <c r="WCA59" s="28"/>
      <c r="WCB59" s="28"/>
      <c r="WCC59" s="28"/>
      <c r="WCD59" s="28"/>
      <c r="WCE59" s="28"/>
      <c r="WCF59" s="28"/>
      <c r="WCG59" s="28"/>
      <c r="WCH59" s="28"/>
      <c r="WCI59" s="28"/>
      <c r="WCJ59" s="28"/>
      <c r="WCK59" s="28"/>
      <c r="WCL59" s="28"/>
      <c r="WCM59" s="28"/>
      <c r="WCN59" s="28"/>
      <c r="WCO59" s="28"/>
      <c r="WCP59" s="28"/>
      <c r="WCQ59" s="28"/>
      <c r="WCR59" s="28"/>
      <c r="WCS59" s="28"/>
      <c r="WCT59" s="28"/>
      <c r="WCU59" s="28"/>
      <c r="WCV59" s="28"/>
      <c r="WCW59" s="28"/>
      <c r="WCX59" s="28"/>
      <c r="WCY59" s="28"/>
      <c r="WCZ59" s="28"/>
      <c r="WDA59" s="28"/>
      <c r="WDB59" s="28"/>
      <c r="WDC59" s="28"/>
      <c r="WDD59" s="28"/>
      <c r="WDE59" s="28"/>
      <c r="WDF59" s="28"/>
      <c r="WDG59" s="28"/>
      <c r="WDH59" s="28"/>
      <c r="WDI59" s="28"/>
      <c r="WDJ59" s="28"/>
      <c r="WDK59" s="28"/>
      <c r="WDL59" s="28"/>
      <c r="WDM59" s="28"/>
      <c r="WDN59" s="28"/>
      <c r="WDO59" s="28"/>
      <c r="WDP59" s="28"/>
      <c r="WDQ59" s="28"/>
      <c r="WDR59" s="28"/>
      <c r="WDS59" s="28"/>
      <c r="WDT59" s="28"/>
      <c r="WDU59" s="28"/>
      <c r="WDV59" s="28"/>
      <c r="WDW59" s="28"/>
      <c r="WDX59" s="28"/>
      <c r="WDY59" s="28"/>
      <c r="WDZ59" s="28"/>
      <c r="WEA59" s="28"/>
      <c r="WEB59" s="28"/>
      <c r="WEC59" s="28"/>
      <c r="WED59" s="28"/>
      <c r="WEE59" s="28"/>
      <c r="WEF59" s="28"/>
      <c r="WEG59" s="28"/>
      <c r="WEH59" s="28"/>
      <c r="WEI59" s="28"/>
      <c r="WEJ59" s="28"/>
      <c r="WEK59" s="28"/>
      <c r="WEL59" s="28"/>
      <c r="WEM59" s="28"/>
      <c r="WEN59" s="28"/>
      <c r="WEO59" s="28"/>
      <c r="WEP59" s="28"/>
      <c r="WEQ59" s="28"/>
      <c r="WER59" s="28"/>
      <c r="WES59" s="28"/>
      <c r="WET59" s="28"/>
      <c r="WEU59" s="28"/>
      <c r="WEV59" s="28"/>
      <c r="WEW59" s="28"/>
      <c r="WEX59" s="28"/>
      <c r="WEY59" s="28"/>
      <c r="WEZ59" s="28"/>
      <c r="WFA59" s="28"/>
      <c r="WFB59" s="28"/>
      <c r="WFC59" s="28"/>
      <c r="WFD59" s="28"/>
      <c r="WFE59" s="28"/>
      <c r="WFF59" s="28"/>
      <c r="WFG59" s="28"/>
      <c r="WFH59" s="28"/>
      <c r="WFI59" s="28"/>
      <c r="WFJ59" s="28"/>
      <c r="WFK59" s="28"/>
      <c r="WFL59" s="28"/>
      <c r="WFM59" s="28"/>
      <c r="WFN59" s="28"/>
      <c r="WFO59" s="28"/>
      <c r="WFP59" s="28"/>
      <c r="WFQ59" s="28"/>
      <c r="WFR59" s="28"/>
      <c r="WFS59" s="28"/>
      <c r="WFT59" s="28"/>
      <c r="WFU59" s="28"/>
      <c r="WFV59" s="28"/>
      <c r="WFW59" s="28"/>
      <c r="WFX59" s="28"/>
      <c r="WFY59" s="28"/>
      <c r="WFZ59" s="28"/>
      <c r="WGA59" s="28"/>
      <c r="WGB59" s="28"/>
      <c r="WGC59" s="28"/>
      <c r="WGD59" s="28"/>
      <c r="WGE59" s="28"/>
      <c r="WGF59" s="28"/>
      <c r="WGG59" s="28"/>
      <c r="WGH59" s="28"/>
      <c r="WGI59" s="28"/>
      <c r="WGJ59" s="28"/>
      <c r="WGK59" s="28"/>
      <c r="WGL59" s="28"/>
      <c r="WGM59" s="28"/>
      <c r="WGN59" s="28"/>
      <c r="WGO59" s="28"/>
      <c r="WGP59" s="28"/>
      <c r="WGQ59" s="28"/>
      <c r="WGR59" s="28"/>
      <c r="WGS59" s="28"/>
      <c r="WGT59" s="28"/>
      <c r="WGU59" s="28"/>
      <c r="WGV59" s="28"/>
      <c r="WGW59" s="28"/>
      <c r="WGX59" s="28"/>
      <c r="WGY59" s="28"/>
      <c r="WGZ59" s="28"/>
      <c r="WHA59" s="28"/>
      <c r="WHB59" s="28"/>
      <c r="WHC59" s="28"/>
      <c r="WHD59" s="28"/>
      <c r="WHE59" s="28"/>
      <c r="WHF59" s="28"/>
      <c r="WHG59" s="28"/>
      <c r="WHH59" s="28"/>
      <c r="WHI59" s="28"/>
      <c r="WHJ59" s="28"/>
      <c r="WHK59" s="28"/>
      <c r="WHL59" s="28"/>
      <c r="WHM59" s="28"/>
      <c r="WHN59" s="28"/>
      <c r="WHO59" s="28"/>
      <c r="WHP59" s="28"/>
      <c r="WHQ59" s="28"/>
      <c r="WHR59" s="28"/>
      <c r="WHS59" s="28"/>
      <c r="WHT59" s="28"/>
      <c r="WHU59" s="28"/>
      <c r="WHV59" s="28"/>
      <c r="WHW59" s="28"/>
      <c r="WHX59" s="28"/>
      <c r="WHY59" s="28"/>
      <c r="WHZ59" s="28"/>
      <c r="WIA59" s="28"/>
      <c r="WIB59" s="28"/>
      <c r="WIC59" s="28"/>
      <c r="WID59" s="28"/>
      <c r="WIE59" s="28"/>
      <c r="WIF59" s="28"/>
      <c r="WIG59" s="28"/>
      <c r="WIH59" s="28"/>
      <c r="WII59" s="28"/>
      <c r="WIJ59" s="28"/>
      <c r="WIK59" s="28"/>
      <c r="WIL59" s="28"/>
      <c r="WIM59" s="28"/>
      <c r="WIN59" s="28"/>
      <c r="WIO59" s="28"/>
      <c r="WIP59" s="28"/>
      <c r="WIQ59" s="28"/>
      <c r="WIR59" s="28"/>
      <c r="WIS59" s="28"/>
      <c r="WIT59" s="28"/>
      <c r="WIU59" s="28"/>
      <c r="WIV59" s="28"/>
      <c r="WIW59" s="28"/>
      <c r="WIX59" s="28"/>
      <c r="WIY59" s="28"/>
      <c r="WIZ59" s="28"/>
      <c r="WJA59" s="28"/>
      <c r="WJB59" s="28"/>
      <c r="WJC59" s="28"/>
      <c r="WJD59" s="28"/>
      <c r="WJE59" s="28"/>
      <c r="WJF59" s="28"/>
      <c r="WJG59" s="28"/>
      <c r="WJH59" s="28"/>
      <c r="WJI59" s="28"/>
      <c r="WJJ59" s="28"/>
      <c r="WJK59" s="28"/>
      <c r="WJL59" s="28"/>
      <c r="WJM59" s="28"/>
      <c r="WJN59" s="28"/>
      <c r="WJO59" s="28"/>
      <c r="WJP59" s="28"/>
      <c r="WJQ59" s="28"/>
      <c r="WJR59" s="28"/>
      <c r="WJS59" s="28"/>
      <c r="WJT59" s="28"/>
      <c r="WJU59" s="28"/>
      <c r="WJV59" s="28"/>
      <c r="WJW59" s="28"/>
      <c r="WJX59" s="28"/>
      <c r="WJY59" s="28"/>
      <c r="WJZ59" s="28"/>
      <c r="WKA59" s="28"/>
      <c r="WKB59" s="28"/>
      <c r="WKC59" s="28"/>
      <c r="WKD59" s="28"/>
      <c r="WKE59" s="28"/>
      <c r="WKF59" s="28"/>
      <c r="WKG59" s="28"/>
      <c r="WKH59" s="28"/>
      <c r="WKI59" s="28"/>
      <c r="WKJ59" s="28"/>
      <c r="WKK59" s="28"/>
      <c r="WKL59" s="28"/>
      <c r="WKM59" s="28"/>
      <c r="WKN59" s="28"/>
      <c r="WKO59" s="28"/>
      <c r="WKP59" s="28"/>
      <c r="WKQ59" s="28"/>
      <c r="WKR59" s="28"/>
      <c r="WKS59" s="28"/>
      <c r="WKT59" s="28"/>
      <c r="WKU59" s="28"/>
      <c r="WKV59" s="28"/>
      <c r="WKW59" s="28"/>
      <c r="WKX59" s="28"/>
      <c r="WKY59" s="28"/>
      <c r="WKZ59" s="28"/>
      <c r="WLA59" s="28"/>
      <c r="WLB59" s="28"/>
      <c r="WLC59" s="28"/>
      <c r="WLD59" s="28"/>
      <c r="WLE59" s="28"/>
      <c r="WLF59" s="28"/>
      <c r="WLG59" s="28"/>
      <c r="WLH59" s="28"/>
      <c r="WLI59" s="28"/>
      <c r="WLJ59" s="28"/>
      <c r="WLK59" s="28"/>
      <c r="WLL59" s="28"/>
      <c r="WLM59" s="28"/>
      <c r="WLN59" s="28"/>
      <c r="WLO59" s="28"/>
      <c r="WLP59" s="28"/>
      <c r="WLQ59" s="28"/>
      <c r="WLR59" s="28"/>
      <c r="WLS59" s="28"/>
      <c r="WLT59" s="28"/>
      <c r="WLU59" s="28"/>
      <c r="WLV59" s="28"/>
      <c r="WLW59" s="28"/>
      <c r="WLX59" s="28"/>
      <c r="WLY59" s="28"/>
      <c r="WLZ59" s="28"/>
      <c r="WMA59" s="28"/>
      <c r="WMB59" s="28"/>
      <c r="WMC59" s="28"/>
      <c r="WMD59" s="28"/>
      <c r="WME59" s="28"/>
      <c r="WMF59" s="28"/>
      <c r="WMG59" s="28"/>
      <c r="WMH59" s="28"/>
      <c r="WMI59" s="28"/>
      <c r="WMJ59" s="28"/>
      <c r="WMK59" s="28"/>
      <c r="WML59" s="28"/>
      <c r="WMM59" s="28"/>
      <c r="WMN59" s="28"/>
      <c r="WMO59" s="28"/>
      <c r="WMP59" s="28"/>
      <c r="WMQ59" s="28"/>
      <c r="WMR59" s="28"/>
      <c r="WMS59" s="28"/>
      <c r="WMT59" s="28"/>
      <c r="WMU59" s="28"/>
      <c r="WMV59" s="28"/>
      <c r="WMW59" s="28"/>
      <c r="WMX59" s="28"/>
      <c r="WMY59" s="28"/>
      <c r="WMZ59" s="28"/>
      <c r="WNA59" s="28"/>
      <c r="WNB59" s="28"/>
      <c r="WNC59" s="28"/>
      <c r="WND59" s="28"/>
      <c r="WNE59" s="28"/>
      <c r="WNF59" s="28"/>
      <c r="WNG59" s="28"/>
      <c r="WNH59" s="28"/>
      <c r="WNI59" s="28"/>
      <c r="WNJ59" s="28"/>
      <c r="WNK59" s="28"/>
      <c r="WNL59" s="28"/>
      <c r="WNM59" s="28"/>
      <c r="WNN59" s="28"/>
      <c r="WNO59" s="28"/>
      <c r="WNP59" s="28"/>
      <c r="WNQ59" s="28"/>
      <c r="WNR59" s="28"/>
      <c r="WNS59" s="28"/>
      <c r="WNT59" s="28"/>
      <c r="WNU59" s="28"/>
      <c r="WNV59" s="28"/>
      <c r="WNW59" s="28"/>
      <c r="WNX59" s="28"/>
      <c r="WNY59" s="28"/>
      <c r="WNZ59" s="28"/>
      <c r="WOA59" s="28"/>
      <c r="WOB59" s="28"/>
      <c r="WOC59" s="28"/>
      <c r="WOD59" s="28"/>
      <c r="WOE59" s="28"/>
      <c r="WOF59" s="28"/>
      <c r="WOG59" s="28"/>
      <c r="WOH59" s="28"/>
      <c r="WOI59" s="28"/>
      <c r="WOJ59" s="28"/>
      <c r="WOK59" s="28"/>
      <c r="WOL59" s="28"/>
      <c r="WOM59" s="28"/>
      <c r="WON59" s="28"/>
      <c r="WOO59" s="28"/>
      <c r="WOP59" s="28"/>
      <c r="WOQ59" s="28"/>
      <c r="WOR59" s="28"/>
      <c r="WOS59" s="28"/>
      <c r="WOT59" s="28"/>
      <c r="WOU59" s="28"/>
      <c r="WOV59" s="28"/>
      <c r="WOW59" s="28"/>
      <c r="WOX59" s="28"/>
      <c r="WOY59" s="28"/>
      <c r="WOZ59" s="28"/>
      <c r="WPA59" s="28"/>
      <c r="WPB59" s="28"/>
      <c r="WPC59" s="28"/>
      <c r="WPD59" s="28"/>
      <c r="WPE59" s="28"/>
      <c r="WPF59" s="28"/>
      <c r="WPG59" s="28"/>
      <c r="WPH59" s="28"/>
      <c r="WPI59" s="28"/>
      <c r="WPJ59" s="28"/>
      <c r="WPK59" s="28"/>
      <c r="WPL59" s="28"/>
      <c r="WPM59" s="28"/>
      <c r="WPN59" s="28"/>
      <c r="WPO59" s="28"/>
      <c r="WPP59" s="28"/>
      <c r="WPQ59" s="28"/>
      <c r="WPR59" s="28"/>
      <c r="WPS59" s="28"/>
      <c r="WPT59" s="28"/>
      <c r="WPU59" s="28"/>
      <c r="WPV59" s="28"/>
      <c r="WPW59" s="28"/>
      <c r="WPX59" s="28"/>
      <c r="WPY59" s="28"/>
      <c r="WPZ59" s="28"/>
      <c r="WQA59" s="28"/>
      <c r="WQB59" s="28"/>
      <c r="WQC59" s="28"/>
      <c r="WQD59" s="28"/>
      <c r="WQE59" s="28"/>
      <c r="WQF59" s="28"/>
      <c r="WQG59" s="28"/>
      <c r="WQH59" s="28"/>
      <c r="WQI59" s="28"/>
      <c r="WQJ59" s="28"/>
      <c r="WQK59" s="28"/>
      <c r="WQL59" s="28"/>
      <c r="WQM59" s="28"/>
      <c r="WQN59" s="28"/>
      <c r="WQO59" s="28"/>
      <c r="WQP59" s="28"/>
      <c r="WQQ59" s="28"/>
      <c r="WQR59" s="28"/>
      <c r="WQS59" s="28"/>
      <c r="WQT59" s="28"/>
      <c r="WQU59" s="28"/>
      <c r="WQV59" s="28"/>
      <c r="WQW59" s="28"/>
      <c r="WQX59" s="28"/>
      <c r="WQY59" s="28"/>
      <c r="WQZ59" s="28"/>
      <c r="WRA59" s="28"/>
      <c r="WRB59" s="28"/>
      <c r="WRC59" s="28"/>
      <c r="WRD59" s="28"/>
      <c r="WRE59" s="28"/>
      <c r="WRF59" s="28"/>
      <c r="WRG59" s="28"/>
      <c r="WRH59" s="28"/>
      <c r="WRI59" s="28"/>
      <c r="WRJ59" s="28"/>
      <c r="WRK59" s="28"/>
      <c r="WRL59" s="28"/>
      <c r="WRM59" s="28"/>
      <c r="WRN59" s="28"/>
      <c r="WRO59" s="28"/>
      <c r="WRP59" s="28"/>
      <c r="WRQ59" s="28"/>
      <c r="WRR59" s="28"/>
      <c r="WRS59" s="28"/>
      <c r="WRT59" s="28"/>
      <c r="WRU59" s="28"/>
      <c r="WRV59" s="28"/>
      <c r="WRW59" s="28"/>
      <c r="WRX59" s="28"/>
      <c r="WRY59" s="28"/>
      <c r="WRZ59" s="28"/>
      <c r="WSA59" s="28"/>
      <c r="WSB59" s="28"/>
      <c r="WSC59" s="28"/>
      <c r="WSD59" s="28"/>
      <c r="WSE59" s="28"/>
      <c r="WSF59" s="28"/>
      <c r="WSG59" s="28"/>
      <c r="WSH59" s="28"/>
      <c r="WSI59" s="28"/>
      <c r="WSJ59" s="28"/>
      <c r="WSK59" s="28"/>
      <c r="WSL59" s="28"/>
      <c r="WSM59" s="28"/>
      <c r="WSN59" s="28"/>
      <c r="WSO59" s="28"/>
      <c r="WSP59" s="28"/>
      <c r="WSQ59" s="28"/>
      <c r="WSR59" s="28"/>
      <c r="WSS59" s="28"/>
      <c r="WST59" s="28"/>
      <c r="WSU59" s="28"/>
      <c r="WSV59" s="28"/>
      <c r="WSW59" s="28"/>
      <c r="WSX59" s="28"/>
      <c r="WSY59" s="28"/>
      <c r="WSZ59" s="28"/>
      <c r="WTA59" s="28"/>
      <c r="WTB59" s="28"/>
      <c r="WTC59" s="28"/>
      <c r="WTD59" s="28"/>
      <c r="WTE59" s="28"/>
      <c r="WTF59" s="28"/>
      <c r="WTG59" s="28"/>
      <c r="WTH59" s="28"/>
      <c r="WTI59" s="28"/>
      <c r="WTJ59" s="28"/>
      <c r="WTK59" s="28"/>
      <c r="WTL59" s="28"/>
      <c r="WTM59" s="28"/>
      <c r="WTN59" s="28"/>
      <c r="WTO59" s="28"/>
      <c r="WTP59" s="28"/>
      <c r="WTQ59" s="28"/>
      <c r="WTR59" s="28"/>
      <c r="WTS59" s="28"/>
      <c r="WTT59" s="28"/>
      <c r="WTU59" s="28"/>
      <c r="WTV59" s="28"/>
      <c r="WTW59" s="28"/>
      <c r="WTX59" s="28"/>
      <c r="WTY59" s="28"/>
      <c r="WTZ59" s="28"/>
      <c r="WUA59" s="28"/>
      <c r="WUB59" s="28"/>
      <c r="WUC59" s="28"/>
      <c r="WUD59" s="28"/>
      <c r="WUE59" s="28"/>
      <c r="WUF59" s="28"/>
      <c r="WUG59" s="28"/>
      <c r="WUH59" s="28"/>
      <c r="WUI59" s="28"/>
      <c r="WUJ59" s="28"/>
      <c r="WUK59" s="28"/>
      <c r="WUL59" s="28"/>
      <c r="WUM59" s="28"/>
      <c r="WUN59" s="28"/>
      <c r="WUO59" s="28"/>
      <c r="WUP59" s="28"/>
      <c r="WUQ59" s="28"/>
      <c r="WUR59" s="28"/>
      <c r="WUS59" s="28"/>
      <c r="WUT59" s="28"/>
      <c r="WUU59" s="28"/>
      <c r="WUV59" s="28"/>
      <c r="WUW59" s="28"/>
      <c r="WUX59" s="28"/>
      <c r="WUY59" s="28"/>
      <c r="WUZ59" s="28"/>
      <c r="WVA59" s="28"/>
      <c r="WVB59" s="28"/>
      <c r="WVC59" s="28"/>
      <c r="WVD59" s="28"/>
      <c r="WVE59" s="28"/>
      <c r="WVF59" s="28"/>
      <c r="WVG59" s="28"/>
      <c r="WVH59" s="28"/>
      <c r="WVI59" s="28"/>
      <c r="WVJ59" s="28"/>
      <c r="WVK59" s="28"/>
      <c r="WVL59" s="28"/>
      <c r="WVM59" s="28"/>
      <c r="WVN59" s="28"/>
      <c r="WVO59" s="28"/>
      <c r="WVP59" s="28"/>
      <c r="WVQ59" s="28"/>
      <c r="WVR59" s="28"/>
      <c r="WVS59" s="28"/>
      <c r="WVT59" s="28"/>
      <c r="WVU59" s="28"/>
      <c r="WVV59" s="28"/>
      <c r="WVW59" s="28"/>
      <c r="WVX59" s="28"/>
      <c r="WVY59" s="28"/>
      <c r="WVZ59" s="28"/>
      <c r="WWA59" s="28"/>
      <c r="WWB59" s="28"/>
      <c r="WWC59" s="28"/>
      <c r="WWD59" s="28"/>
      <c r="WWE59" s="28"/>
      <c r="WWF59" s="28"/>
      <c r="WWG59" s="28"/>
      <c r="WWH59" s="28"/>
      <c r="WWI59" s="28"/>
      <c r="WWJ59" s="28"/>
      <c r="WWK59" s="28"/>
      <c r="WWL59" s="28"/>
      <c r="WWM59" s="28"/>
      <c r="WWN59" s="28"/>
      <c r="WWO59" s="28"/>
      <c r="WWP59" s="28"/>
      <c r="WWQ59" s="28"/>
      <c r="WWR59" s="28"/>
      <c r="WWS59" s="28"/>
      <c r="WWT59" s="28"/>
      <c r="WWU59" s="28"/>
      <c r="WWV59" s="28"/>
      <c r="WWW59" s="28"/>
      <c r="WWX59" s="28"/>
      <c r="WWY59" s="28"/>
      <c r="WWZ59" s="28"/>
      <c r="WXA59" s="28"/>
      <c r="WXB59" s="28"/>
      <c r="WXC59" s="28"/>
      <c r="WXD59" s="28"/>
      <c r="WXE59" s="28"/>
      <c r="WXF59" s="28"/>
      <c r="WXG59" s="28"/>
      <c r="WXH59" s="28"/>
      <c r="WXI59" s="28"/>
      <c r="WXJ59" s="28"/>
      <c r="WXK59" s="28"/>
      <c r="WXL59" s="28"/>
      <c r="WXM59" s="28"/>
      <c r="WXN59" s="28"/>
      <c r="WXO59" s="28"/>
      <c r="WXP59" s="28"/>
      <c r="WXQ59" s="28"/>
      <c r="WXR59" s="28"/>
      <c r="WXS59" s="28"/>
      <c r="WXT59" s="28"/>
      <c r="WXU59" s="28"/>
      <c r="WXV59" s="28"/>
      <c r="WXW59" s="28"/>
      <c r="WXX59" s="28"/>
      <c r="WXY59" s="28"/>
      <c r="WXZ59" s="28"/>
      <c r="WYA59" s="28"/>
      <c r="WYB59" s="28"/>
      <c r="WYC59" s="28"/>
      <c r="WYD59" s="28"/>
      <c r="WYE59" s="28"/>
      <c r="WYF59" s="28"/>
      <c r="WYG59" s="28"/>
      <c r="WYH59" s="28"/>
      <c r="WYI59" s="28"/>
      <c r="WYJ59" s="28"/>
      <c r="WYK59" s="28"/>
      <c r="WYL59" s="28"/>
      <c r="WYM59" s="28"/>
      <c r="WYN59" s="28"/>
      <c r="WYO59" s="28"/>
      <c r="WYP59" s="28"/>
      <c r="WYQ59" s="28"/>
      <c r="WYR59" s="28"/>
      <c r="WYS59" s="28"/>
      <c r="WYT59" s="28"/>
      <c r="WYU59" s="28"/>
      <c r="WYV59" s="28"/>
      <c r="WYW59" s="28"/>
      <c r="WYX59" s="28"/>
      <c r="WYY59" s="28"/>
      <c r="WYZ59" s="28"/>
      <c r="WZA59" s="28"/>
      <c r="WZB59" s="28"/>
      <c r="WZC59" s="28"/>
      <c r="WZD59" s="28"/>
      <c r="WZE59" s="28"/>
      <c r="WZF59" s="28"/>
      <c r="WZG59" s="28"/>
      <c r="WZH59" s="28"/>
      <c r="WZI59" s="28"/>
      <c r="WZJ59" s="28"/>
      <c r="WZK59" s="28"/>
      <c r="WZL59" s="28"/>
      <c r="WZM59" s="28"/>
      <c r="WZN59" s="28"/>
      <c r="WZO59" s="28"/>
      <c r="WZP59" s="28"/>
      <c r="WZQ59" s="28"/>
      <c r="WZR59" s="28"/>
      <c r="WZS59" s="28"/>
      <c r="WZT59" s="28"/>
      <c r="WZU59" s="28"/>
      <c r="WZV59" s="28"/>
      <c r="WZW59" s="28"/>
      <c r="WZX59" s="28"/>
      <c r="WZY59" s="28"/>
      <c r="WZZ59" s="28"/>
      <c r="XAA59" s="28"/>
      <c r="XAB59" s="28"/>
      <c r="XAC59" s="28"/>
      <c r="XAD59" s="28"/>
      <c r="XAE59" s="28"/>
      <c r="XAF59" s="28"/>
      <c r="XAG59" s="28"/>
      <c r="XAH59" s="28"/>
      <c r="XAI59" s="28"/>
      <c r="XAJ59" s="28"/>
      <c r="XAK59" s="28"/>
      <c r="XAL59" s="28"/>
      <c r="XAM59" s="28"/>
      <c r="XAN59" s="28"/>
      <c r="XAO59" s="28"/>
      <c r="XAP59" s="28"/>
      <c r="XAQ59" s="28"/>
      <c r="XAR59" s="28"/>
      <c r="XAS59" s="28"/>
      <c r="XAT59" s="28"/>
      <c r="XAU59" s="28"/>
      <c r="XAV59" s="28"/>
      <c r="XAW59" s="28"/>
      <c r="XAX59" s="28"/>
      <c r="XAY59" s="28"/>
      <c r="XAZ59" s="28"/>
      <c r="XBA59" s="28"/>
      <c r="XBB59" s="28"/>
      <c r="XBC59" s="28"/>
      <c r="XBD59" s="28"/>
      <c r="XBE59" s="28"/>
      <c r="XBF59" s="28"/>
      <c r="XBG59" s="28"/>
      <c r="XBH59" s="28"/>
      <c r="XBI59" s="28"/>
      <c r="XBJ59" s="28"/>
      <c r="XBK59" s="28"/>
      <c r="XBL59" s="28"/>
      <c r="XBM59" s="28"/>
      <c r="XBN59" s="28"/>
      <c r="XBO59" s="28"/>
      <c r="XBP59" s="28"/>
      <c r="XBQ59" s="28"/>
      <c r="XBR59" s="28"/>
      <c r="XBS59" s="28"/>
      <c r="XBT59" s="28"/>
      <c r="XBU59" s="28"/>
      <c r="XBV59" s="28"/>
      <c r="XBW59" s="28"/>
      <c r="XBX59" s="28"/>
      <c r="XBY59" s="28"/>
      <c r="XBZ59" s="28"/>
      <c r="XCA59" s="28"/>
      <c r="XCB59" s="28"/>
      <c r="XCC59" s="28"/>
      <c r="XCD59" s="28"/>
      <c r="XCE59" s="28"/>
      <c r="XCF59" s="28"/>
      <c r="XCG59" s="28"/>
      <c r="XCH59" s="28"/>
      <c r="XCI59" s="28"/>
      <c r="XCJ59" s="28"/>
      <c r="XCK59" s="28"/>
      <c r="XCL59" s="28"/>
      <c r="XCM59" s="28"/>
      <c r="XCN59" s="28"/>
      <c r="XCO59" s="28"/>
      <c r="XCP59" s="28"/>
      <c r="XCQ59" s="28"/>
      <c r="XCR59" s="28"/>
      <c r="XCS59" s="28"/>
      <c r="XCT59" s="28"/>
      <c r="XCU59" s="28"/>
      <c r="XCV59" s="28"/>
      <c r="XCW59" s="28"/>
      <c r="XCX59" s="28"/>
      <c r="XCY59" s="28"/>
      <c r="XCZ59" s="28"/>
      <c r="XDA59" s="28"/>
      <c r="XDB59" s="28"/>
      <c r="XDC59" s="28"/>
      <c r="XDD59" s="28"/>
      <c r="XDE59" s="28"/>
      <c r="XDF59" s="28"/>
      <c r="XDG59" s="28"/>
      <c r="XDH59" s="28"/>
      <c r="XDI59" s="28"/>
      <c r="XDJ59" s="28"/>
      <c r="XDK59" s="28"/>
      <c r="XDL59" s="28"/>
      <c r="XDM59" s="28"/>
      <c r="XDN59" s="28"/>
      <c r="XDO59" s="28"/>
      <c r="XDP59" s="28"/>
      <c r="XDQ59" s="28"/>
      <c r="XDR59" s="28"/>
      <c r="XDS59" s="28"/>
      <c r="XDT59" s="28"/>
      <c r="XDU59" s="28"/>
      <c r="XDV59" s="28"/>
      <c r="XDW59" s="28"/>
      <c r="XDX59" s="28"/>
      <c r="XDY59" s="28"/>
      <c r="XDZ59" s="28"/>
      <c r="XEA59" s="28"/>
      <c r="XEB59" s="28"/>
      <c r="XEC59" s="28"/>
      <c r="XED59" s="28"/>
      <c r="XEE59" s="28"/>
      <c r="XEF59" s="28"/>
      <c r="XEG59" s="28"/>
      <c r="XEH59" s="28"/>
      <c r="XEI59" s="28"/>
      <c r="XEJ59" s="28"/>
      <c r="XEK59" s="28"/>
      <c r="XEL59" s="28"/>
      <c r="XEM59" s="28"/>
      <c r="XEN59" s="28"/>
      <c r="XEO59" s="28"/>
      <c r="XEP59" s="28"/>
      <c r="XEQ59" s="28"/>
      <c r="XER59" s="28"/>
      <c r="XES59" s="28"/>
      <c r="XET59" s="28"/>
      <c r="XEU59" s="28"/>
      <c r="XEV59" s="28"/>
      <c r="XEW59" s="28"/>
      <c r="XEX59" s="28"/>
      <c r="XEY59" s="28"/>
      <c r="XEZ59" s="28"/>
      <c r="XFA59" s="28"/>
      <c r="XFB59" s="28"/>
      <c r="XFC59" s="28"/>
      <c r="XFD59" s="28"/>
    </row>
    <row r="60" spans="1:16384">
      <c r="A60" s="28">
        <v>950</v>
      </c>
      <c r="B60" s="28" t="s">
        <v>184</v>
      </c>
      <c r="C60" s="991">
        <v>40.200000000000003</v>
      </c>
      <c r="D60" s="991">
        <v>46.3</v>
      </c>
      <c r="E60" s="991">
        <v>44.9</v>
      </c>
      <c r="F60" s="36">
        <v>44.6</v>
      </c>
      <c r="G60" s="36">
        <v>40.799999999999997</v>
      </c>
      <c r="H60" s="36">
        <v>41.7</v>
      </c>
      <c r="I60" s="36">
        <v>41.3</v>
      </c>
      <c r="J60" s="36">
        <v>40</v>
      </c>
      <c r="K60" s="36">
        <v>36.700000000000003</v>
      </c>
      <c r="L60" s="36">
        <v>34.4</v>
      </c>
      <c r="M60" s="36">
        <v>32.700000000000003</v>
      </c>
      <c r="N60" s="36">
        <v>33.5</v>
      </c>
      <c r="O60" s="36">
        <v>48.1</v>
      </c>
      <c r="P60" s="36">
        <v>50.6</v>
      </c>
      <c r="Q60" s="36">
        <v>45.4</v>
      </c>
      <c r="R60" s="36">
        <v>45.6</v>
      </c>
      <c r="S60" s="36">
        <v>50.9</v>
      </c>
      <c r="T60" s="36">
        <v>44.7</v>
      </c>
      <c r="U60" s="36">
        <v>56</v>
      </c>
      <c r="V60" s="36">
        <v>69.400000000000006</v>
      </c>
      <c r="W60" s="36">
        <v>45.2</v>
      </c>
      <c r="X60" s="36">
        <v>50.2</v>
      </c>
      <c r="Y60" s="36" t="s">
        <v>194</v>
      </c>
    </row>
    <row r="61" spans="1:16384">
      <c r="A61" s="28">
        <v>375</v>
      </c>
      <c r="B61" s="28" t="s">
        <v>76</v>
      </c>
      <c r="C61" s="1000">
        <v>2606</v>
      </c>
      <c r="D61" s="1000">
        <v>2598</v>
      </c>
      <c r="E61" s="1000">
        <v>2645</v>
      </c>
      <c r="F61" s="36">
        <v>2762</v>
      </c>
      <c r="G61" s="36">
        <v>2812</v>
      </c>
      <c r="H61" s="36">
        <v>2733</v>
      </c>
      <c r="I61" s="36">
        <v>2688</v>
      </c>
      <c r="J61" s="36">
        <v>2419</v>
      </c>
      <c r="K61" s="36">
        <v>2679</v>
      </c>
      <c r="L61" s="36">
        <v>2881</v>
      </c>
      <c r="M61" s="36">
        <v>2944</v>
      </c>
      <c r="N61" s="36">
        <v>2565</v>
      </c>
      <c r="O61" s="36">
        <v>2702</v>
      </c>
      <c r="P61" s="36">
        <v>2576</v>
      </c>
      <c r="Q61" s="36">
        <v>2627</v>
      </c>
      <c r="R61" s="36">
        <v>3050</v>
      </c>
      <c r="S61" s="36">
        <v>3234</v>
      </c>
      <c r="T61" s="36">
        <v>3320</v>
      </c>
      <c r="U61" s="36">
        <v>3380</v>
      </c>
      <c r="V61" s="36">
        <v>3184</v>
      </c>
      <c r="W61" s="36">
        <v>3428</v>
      </c>
      <c r="X61" s="36">
        <v>3599</v>
      </c>
      <c r="Y61" s="36">
        <v>3718</v>
      </c>
    </row>
    <row r="62" spans="1:16384">
      <c r="A62" s="28">
        <v>220</v>
      </c>
      <c r="B62" s="28" t="s">
        <v>40</v>
      </c>
      <c r="C62" s="1001">
        <v>67405</v>
      </c>
      <c r="D62" s="1001">
        <v>68232</v>
      </c>
      <c r="E62" s="1001">
        <v>67930</v>
      </c>
      <c r="F62" s="36">
        <v>68372</v>
      </c>
      <c r="G62" s="36">
        <v>66221</v>
      </c>
      <c r="H62" s="36">
        <v>65487</v>
      </c>
      <c r="I62" s="36">
        <v>65824</v>
      </c>
      <c r="J62" s="36">
        <v>62566</v>
      </c>
      <c r="K62" s="36">
        <v>61064</v>
      </c>
      <c r="L62" s="36">
        <v>61274</v>
      </c>
      <c r="M62" s="36">
        <v>59673</v>
      </c>
      <c r="N62" s="36">
        <v>60198</v>
      </c>
      <c r="O62" s="36">
        <v>59508</v>
      </c>
      <c r="P62" s="36">
        <v>59308</v>
      </c>
      <c r="Q62" s="36">
        <v>60525</v>
      </c>
      <c r="R62" s="36">
        <v>62364</v>
      </c>
      <c r="S62" s="36">
        <v>64076</v>
      </c>
      <c r="T62" s="36">
        <v>62724</v>
      </c>
      <c r="U62" s="36">
        <v>63059</v>
      </c>
      <c r="V62" s="36">
        <v>63272</v>
      </c>
      <c r="W62" s="36">
        <v>62642</v>
      </c>
      <c r="X62" s="36">
        <v>66869</v>
      </c>
      <c r="Y62" s="36">
        <v>61285</v>
      </c>
    </row>
    <row r="63" spans="1:16384">
      <c r="A63" s="28">
        <v>481</v>
      </c>
      <c r="B63" s="28" t="s">
        <v>100</v>
      </c>
      <c r="C63" s="28"/>
      <c r="D63" s="28"/>
      <c r="E63" s="28"/>
      <c r="F63" s="36" t="s">
        <v>194</v>
      </c>
      <c r="G63" s="36" t="s">
        <v>194</v>
      </c>
      <c r="H63" s="36" t="s">
        <v>194</v>
      </c>
      <c r="I63" s="36" t="s">
        <v>194</v>
      </c>
      <c r="J63" s="36" t="s">
        <v>194</v>
      </c>
      <c r="K63" s="36" t="s">
        <v>194</v>
      </c>
      <c r="L63" s="36" t="s">
        <v>194</v>
      </c>
      <c r="M63" s="36" t="s">
        <v>194</v>
      </c>
      <c r="N63" s="36" t="s">
        <v>194</v>
      </c>
      <c r="O63" s="36">
        <v>166</v>
      </c>
      <c r="P63" s="36">
        <v>165</v>
      </c>
      <c r="Q63" s="36">
        <v>165</v>
      </c>
      <c r="R63" s="36">
        <v>154</v>
      </c>
      <c r="S63" s="36">
        <v>159</v>
      </c>
      <c r="T63" s="36">
        <v>141</v>
      </c>
      <c r="U63" s="36">
        <v>138</v>
      </c>
      <c r="V63" s="36">
        <v>134</v>
      </c>
      <c r="W63" s="36" t="s">
        <v>194</v>
      </c>
      <c r="X63" s="36" t="s">
        <v>194</v>
      </c>
      <c r="Y63" s="36">
        <v>134</v>
      </c>
    </row>
    <row r="64" spans="1:16384">
      <c r="A64" s="28">
        <v>420</v>
      </c>
      <c r="B64" s="28" t="s">
        <v>85</v>
      </c>
      <c r="C64" s="924">
        <v>1.9</v>
      </c>
      <c r="D64" s="924">
        <v>2.5</v>
      </c>
      <c r="E64" s="924">
        <v>2.9</v>
      </c>
      <c r="F64" s="36">
        <v>3.4</v>
      </c>
      <c r="G64" s="36">
        <v>2.8</v>
      </c>
      <c r="H64" s="36">
        <v>2</v>
      </c>
      <c r="I64" s="36">
        <v>1.8</v>
      </c>
      <c r="J64" s="36">
        <v>2.1</v>
      </c>
      <c r="K64" s="36">
        <v>2.9</v>
      </c>
      <c r="L64" s="36">
        <v>3.2</v>
      </c>
      <c r="M64" s="36">
        <v>3.1</v>
      </c>
      <c r="N64" s="36">
        <v>2.8</v>
      </c>
      <c r="O64" s="36">
        <v>3</v>
      </c>
      <c r="P64" s="36">
        <v>2.6</v>
      </c>
      <c r="Q64" s="36">
        <v>2.8</v>
      </c>
      <c r="R64" s="36">
        <v>3</v>
      </c>
      <c r="S64" s="36">
        <v>2.7</v>
      </c>
      <c r="T64" s="36">
        <v>3.8</v>
      </c>
      <c r="U64" s="36">
        <v>3.4</v>
      </c>
      <c r="V64" s="36">
        <v>4.5999999999999996</v>
      </c>
      <c r="W64" s="36" t="s">
        <v>194</v>
      </c>
      <c r="X64" s="36" t="s">
        <v>194</v>
      </c>
      <c r="Y64" s="36" t="s">
        <v>194</v>
      </c>
    </row>
    <row r="65" spans="1:25">
      <c r="A65" s="28">
        <v>452</v>
      </c>
      <c r="B65" s="28" t="s">
        <v>96</v>
      </c>
      <c r="C65" s="925">
        <v>23.5</v>
      </c>
      <c r="D65" s="925">
        <v>24.9</v>
      </c>
      <c r="E65" s="925">
        <v>26.7</v>
      </c>
      <c r="F65" s="36">
        <v>38.299999999999997</v>
      </c>
      <c r="G65" s="36">
        <v>41.6</v>
      </c>
      <c r="H65" s="36">
        <v>48.6</v>
      </c>
      <c r="I65" s="36">
        <v>52.9</v>
      </c>
      <c r="J65" s="36">
        <v>54</v>
      </c>
      <c r="K65" s="36">
        <v>45.5</v>
      </c>
      <c r="L65" s="36">
        <v>45.6</v>
      </c>
      <c r="M65" s="36">
        <v>56.7</v>
      </c>
      <c r="N65" s="36">
        <v>60.1</v>
      </c>
      <c r="O65" s="36">
        <v>84.2</v>
      </c>
      <c r="P65" s="36">
        <v>52.9</v>
      </c>
      <c r="Q65" s="36">
        <v>58.3</v>
      </c>
      <c r="R65" s="36">
        <v>72.5</v>
      </c>
      <c r="S65" s="36">
        <v>70.7</v>
      </c>
      <c r="T65" s="36">
        <v>70.5</v>
      </c>
      <c r="U65" s="36">
        <v>75.8</v>
      </c>
      <c r="V65" s="36">
        <v>116</v>
      </c>
      <c r="W65" s="36">
        <v>102</v>
      </c>
      <c r="X65" s="36">
        <v>113</v>
      </c>
      <c r="Y65" s="36">
        <v>115</v>
      </c>
    </row>
    <row r="66" spans="1:25">
      <c r="A66" s="28">
        <v>255</v>
      </c>
      <c r="B66" s="28" t="s">
        <v>47</v>
      </c>
      <c r="C66" s="1002">
        <v>65970</v>
      </c>
      <c r="D66" s="1002">
        <v>65786</v>
      </c>
      <c r="E66" s="1002">
        <v>69337</v>
      </c>
      <c r="F66" s="36">
        <v>65616</v>
      </c>
      <c r="G66" s="36">
        <v>62402</v>
      </c>
      <c r="H66" s="36">
        <v>56100</v>
      </c>
      <c r="I66" s="36">
        <v>52317</v>
      </c>
      <c r="J66" s="36">
        <v>51459</v>
      </c>
      <c r="K66" s="36">
        <v>50453</v>
      </c>
      <c r="L66" s="36">
        <v>48622</v>
      </c>
      <c r="M66" s="36">
        <v>48777</v>
      </c>
      <c r="N66" s="36">
        <v>49773</v>
      </c>
      <c r="O66" s="36">
        <v>48969</v>
      </c>
      <c r="P66" s="36">
        <v>48170</v>
      </c>
      <c r="Q66" s="36">
        <v>48306</v>
      </c>
      <c r="R66" s="36">
        <v>47646</v>
      </c>
      <c r="S66" s="36">
        <v>46183</v>
      </c>
      <c r="T66" s="36">
        <v>45460</v>
      </c>
      <c r="U66" s="36">
        <v>44411</v>
      </c>
      <c r="V66" s="36">
        <v>44454</v>
      </c>
      <c r="W66" s="36">
        <v>45730</v>
      </c>
      <c r="X66" s="36">
        <v>47453</v>
      </c>
      <c r="Y66" s="36">
        <v>46848</v>
      </c>
    </row>
    <row r="67" spans="1:25">
      <c r="A67" s="28">
        <v>404</v>
      </c>
      <c r="B67" s="28" t="s">
        <v>83</v>
      </c>
      <c r="C67" s="28"/>
      <c r="D67" s="926">
        <v>7.4</v>
      </c>
      <c r="E67" s="28"/>
      <c r="F67" s="36" t="s">
        <v>194</v>
      </c>
      <c r="G67" s="36" t="s">
        <v>194</v>
      </c>
      <c r="H67" s="36" t="s">
        <v>194</v>
      </c>
      <c r="I67" s="36">
        <v>4</v>
      </c>
      <c r="J67" s="36">
        <v>4.2</v>
      </c>
      <c r="K67" s="36">
        <v>3.5</v>
      </c>
      <c r="L67" s="36">
        <v>3.2</v>
      </c>
      <c r="M67" s="36">
        <v>4.9000000000000004</v>
      </c>
      <c r="N67" s="36" t="s">
        <v>194</v>
      </c>
      <c r="O67" s="36">
        <v>17.899999999999999</v>
      </c>
      <c r="P67" s="36">
        <v>11.6</v>
      </c>
      <c r="Q67" s="36">
        <v>10.9</v>
      </c>
      <c r="R67" s="36">
        <v>11.2</v>
      </c>
      <c r="S67" s="36" t="s">
        <v>194</v>
      </c>
      <c r="T67" s="36">
        <v>15.7</v>
      </c>
      <c r="U67" s="36" t="s">
        <v>194</v>
      </c>
      <c r="V67" s="36" t="s">
        <v>194</v>
      </c>
      <c r="W67" s="36" t="s">
        <v>194</v>
      </c>
      <c r="X67" s="36" t="s">
        <v>194</v>
      </c>
      <c r="Y67" s="36" t="s">
        <v>194</v>
      </c>
    </row>
    <row r="68" spans="1:25">
      <c r="A68" s="28">
        <v>350</v>
      </c>
      <c r="B68" s="28" t="s">
        <v>62</v>
      </c>
      <c r="C68" s="1003">
        <v>6979</v>
      </c>
      <c r="D68" s="1003">
        <v>6544</v>
      </c>
      <c r="E68" s="1003">
        <v>6616</v>
      </c>
      <c r="F68" s="36">
        <v>6275</v>
      </c>
      <c r="G68" s="36">
        <v>6521</v>
      </c>
      <c r="H68" s="36">
        <v>6365</v>
      </c>
      <c r="I68" s="36">
        <v>6475</v>
      </c>
      <c r="J68" s="36">
        <v>6613</v>
      </c>
      <c r="K68" s="36">
        <v>7009</v>
      </c>
      <c r="L68" s="36">
        <v>7469</v>
      </c>
      <c r="M68" s="36">
        <v>8139</v>
      </c>
      <c r="N68" s="36">
        <v>8521</v>
      </c>
      <c r="O68" s="36">
        <v>8992</v>
      </c>
      <c r="P68" s="36">
        <v>8794</v>
      </c>
      <c r="Q68" s="36">
        <v>8626</v>
      </c>
      <c r="R68" s="36">
        <v>7390</v>
      </c>
      <c r="S68" s="36">
        <v>8125</v>
      </c>
      <c r="T68" s="36">
        <v>8786</v>
      </c>
      <c r="U68" s="36">
        <v>9135</v>
      </c>
      <c r="V68" s="36">
        <v>9128</v>
      </c>
      <c r="W68" s="36">
        <v>10148</v>
      </c>
      <c r="X68" s="36">
        <v>10572</v>
      </c>
      <c r="Y68" s="36">
        <v>9369</v>
      </c>
    </row>
    <row r="69" spans="1:25">
      <c r="A69" s="28">
        <v>372</v>
      </c>
      <c r="B69" s="28" t="s">
        <v>74</v>
      </c>
      <c r="C69" s="28"/>
      <c r="D69" s="28"/>
      <c r="E69" s="28"/>
      <c r="F69" s="36" t="s">
        <v>194</v>
      </c>
      <c r="G69" s="36" t="s">
        <v>194</v>
      </c>
      <c r="H69" s="36" t="s">
        <v>194</v>
      </c>
      <c r="I69" s="36" t="s">
        <v>194</v>
      </c>
      <c r="J69" s="36" t="s">
        <v>194</v>
      </c>
      <c r="K69" s="36">
        <v>124</v>
      </c>
      <c r="L69" s="36">
        <v>77.599999999999994</v>
      </c>
      <c r="M69" s="36">
        <v>75</v>
      </c>
      <c r="N69" s="36">
        <v>57.7</v>
      </c>
      <c r="O69" s="36">
        <v>39.4</v>
      </c>
      <c r="P69" s="36">
        <v>50</v>
      </c>
      <c r="Q69" s="36">
        <v>71.5</v>
      </c>
      <c r="R69" s="36">
        <v>83.7</v>
      </c>
      <c r="S69" s="36">
        <v>117</v>
      </c>
      <c r="T69" s="36">
        <v>310</v>
      </c>
      <c r="U69" s="36">
        <v>527</v>
      </c>
      <c r="V69" s="36">
        <v>1043</v>
      </c>
      <c r="W69" s="36">
        <v>990</v>
      </c>
      <c r="X69" s="36">
        <v>604</v>
      </c>
      <c r="Y69" s="36">
        <v>452</v>
      </c>
    </row>
    <row r="70" spans="1:25">
      <c r="A70" s="28">
        <v>90</v>
      </c>
      <c r="B70" s="28" t="s">
        <v>17</v>
      </c>
      <c r="C70" s="954">
        <v>332</v>
      </c>
      <c r="D70" s="954">
        <v>332</v>
      </c>
      <c r="E70" s="954">
        <v>326</v>
      </c>
      <c r="F70" s="36">
        <v>248</v>
      </c>
      <c r="G70" s="36">
        <v>298</v>
      </c>
      <c r="H70" s="36">
        <v>273</v>
      </c>
      <c r="I70" s="36">
        <v>287</v>
      </c>
      <c r="J70" s="36">
        <v>276</v>
      </c>
      <c r="K70" s="36">
        <v>231</v>
      </c>
      <c r="L70" s="36">
        <v>217</v>
      </c>
      <c r="M70" s="36">
        <v>226</v>
      </c>
      <c r="N70" s="36">
        <v>220</v>
      </c>
      <c r="O70" s="36">
        <v>279</v>
      </c>
      <c r="P70" s="36">
        <v>327</v>
      </c>
      <c r="Q70" s="36">
        <v>242</v>
      </c>
      <c r="R70" s="36">
        <v>231</v>
      </c>
      <c r="S70" s="36">
        <v>140</v>
      </c>
      <c r="T70" s="36">
        <v>122</v>
      </c>
      <c r="U70" s="36">
        <v>149</v>
      </c>
      <c r="V70" s="36">
        <v>147</v>
      </c>
      <c r="W70" s="36">
        <v>157</v>
      </c>
      <c r="X70" s="36">
        <v>146</v>
      </c>
      <c r="Y70" s="36">
        <v>161</v>
      </c>
    </row>
    <row r="71" spans="1:25">
      <c r="A71" s="28">
        <v>438</v>
      </c>
      <c r="B71" s="28" t="s">
        <v>92</v>
      </c>
      <c r="C71" s="28"/>
      <c r="D71" s="28"/>
      <c r="E71" s="28"/>
      <c r="F71" s="36">
        <v>67.599999999999994</v>
      </c>
      <c r="G71" s="36">
        <v>56.7</v>
      </c>
      <c r="H71" s="36">
        <v>44.2</v>
      </c>
      <c r="I71" s="36">
        <v>45.3</v>
      </c>
      <c r="J71" s="36" t="s">
        <v>194</v>
      </c>
      <c r="K71" s="36" t="s">
        <v>194</v>
      </c>
      <c r="L71" s="36">
        <v>44.3</v>
      </c>
      <c r="M71" s="36">
        <v>48.4</v>
      </c>
      <c r="N71" s="36">
        <v>63.6</v>
      </c>
      <c r="O71" s="36">
        <v>62.4</v>
      </c>
      <c r="P71" s="36">
        <v>126</v>
      </c>
      <c r="Q71" s="36">
        <v>139</v>
      </c>
      <c r="R71" s="36">
        <v>108</v>
      </c>
      <c r="S71" s="36">
        <v>99.9</v>
      </c>
      <c r="T71" s="36" t="s">
        <v>194</v>
      </c>
      <c r="U71" s="36" t="s">
        <v>194</v>
      </c>
      <c r="V71" s="36" t="s">
        <v>194</v>
      </c>
      <c r="W71" s="36" t="s">
        <v>194</v>
      </c>
      <c r="X71" s="36" t="s">
        <v>194</v>
      </c>
      <c r="Y71" s="36" t="s">
        <v>194</v>
      </c>
    </row>
    <row r="72" spans="1:25">
      <c r="A72" s="28">
        <v>110</v>
      </c>
      <c r="B72" s="28" t="s">
        <v>25</v>
      </c>
      <c r="C72" s="968">
        <v>3.7</v>
      </c>
      <c r="D72" s="968">
        <v>5.2</v>
      </c>
      <c r="E72" s="968">
        <v>5.7</v>
      </c>
      <c r="F72" s="36">
        <v>4.5999999999999996</v>
      </c>
      <c r="G72" s="36">
        <v>7.1</v>
      </c>
      <c r="H72" s="36">
        <v>7.9</v>
      </c>
      <c r="I72" s="36">
        <v>9.4</v>
      </c>
      <c r="J72" s="36">
        <v>9</v>
      </c>
      <c r="K72" s="36">
        <v>8.1</v>
      </c>
      <c r="L72" s="36" t="s">
        <v>194</v>
      </c>
      <c r="M72" s="36" t="s">
        <v>194</v>
      </c>
      <c r="N72" s="36" t="s">
        <v>194</v>
      </c>
      <c r="O72" s="36" t="s">
        <v>194</v>
      </c>
      <c r="P72" s="36" t="s">
        <v>194</v>
      </c>
      <c r="Q72" s="36" t="s">
        <v>194</v>
      </c>
      <c r="R72" s="36" t="s">
        <v>194</v>
      </c>
      <c r="S72" s="36" t="s">
        <v>194</v>
      </c>
      <c r="T72" s="36" t="s">
        <v>194</v>
      </c>
      <c r="U72" s="36" t="s">
        <v>194</v>
      </c>
      <c r="V72" s="36" t="s">
        <v>194</v>
      </c>
      <c r="W72" s="36" t="s">
        <v>194</v>
      </c>
      <c r="X72" s="36" t="s">
        <v>194</v>
      </c>
      <c r="Y72" s="36" t="s">
        <v>194</v>
      </c>
    </row>
    <row r="73" spans="1:25">
      <c r="A73" s="28">
        <v>41</v>
      </c>
      <c r="B73" s="28" t="s">
        <v>4</v>
      </c>
      <c r="C73" s="955">
        <v>6.9</v>
      </c>
      <c r="D73" s="955">
        <v>7.3</v>
      </c>
      <c r="E73" s="955">
        <v>7.2</v>
      </c>
      <c r="F73" s="36">
        <v>7.4</v>
      </c>
      <c r="G73" s="36">
        <v>6.7</v>
      </c>
      <c r="H73" s="36">
        <v>6.4</v>
      </c>
      <c r="I73" s="36">
        <v>5.2</v>
      </c>
      <c r="J73" s="36">
        <v>6.4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</row>
    <row r="74" spans="1:25">
      <c r="A74" s="28">
        <v>91</v>
      </c>
      <c r="B74" s="28" t="s">
        <v>18</v>
      </c>
      <c r="C74" s="28"/>
      <c r="D74" s="28"/>
      <c r="E74" s="28"/>
      <c r="F74" s="36" t="s">
        <v>194</v>
      </c>
      <c r="G74" s="36" t="s">
        <v>194</v>
      </c>
      <c r="H74" s="36" t="s">
        <v>194</v>
      </c>
      <c r="I74" s="36" t="s">
        <v>194</v>
      </c>
      <c r="J74" s="36" t="s">
        <v>194</v>
      </c>
      <c r="K74" s="36" t="s">
        <v>194</v>
      </c>
      <c r="L74" s="36" t="s">
        <v>194</v>
      </c>
      <c r="M74" s="36" t="s">
        <v>194</v>
      </c>
      <c r="N74" s="36" t="s">
        <v>194</v>
      </c>
      <c r="O74" s="36">
        <v>76.2</v>
      </c>
      <c r="P74" s="36">
        <v>86.9</v>
      </c>
      <c r="Q74" s="36">
        <v>112</v>
      </c>
      <c r="R74" s="36">
        <v>107</v>
      </c>
      <c r="S74" s="36">
        <v>99.6</v>
      </c>
      <c r="T74" s="36">
        <v>99</v>
      </c>
      <c r="U74" s="36">
        <v>98.8</v>
      </c>
      <c r="V74" s="36">
        <v>137</v>
      </c>
      <c r="W74" s="36">
        <v>217</v>
      </c>
      <c r="X74" s="36">
        <v>217</v>
      </c>
      <c r="Y74" s="36">
        <v>235</v>
      </c>
    </row>
    <row r="75" spans="1:25">
      <c r="A75" s="28">
        <v>310</v>
      </c>
      <c r="B75" s="28" t="s">
        <v>50</v>
      </c>
      <c r="C75" s="1004">
        <v>4185</v>
      </c>
      <c r="D75" s="1004">
        <v>3477</v>
      </c>
      <c r="E75" s="1004">
        <v>2956</v>
      </c>
      <c r="F75" s="36">
        <v>2305</v>
      </c>
      <c r="G75" s="36">
        <v>2157</v>
      </c>
      <c r="H75" s="36">
        <v>1927</v>
      </c>
      <c r="I75" s="36">
        <v>1913</v>
      </c>
      <c r="J75" s="36">
        <v>1469</v>
      </c>
      <c r="K75" s="36">
        <v>1371</v>
      </c>
      <c r="L75" s="36">
        <v>1650</v>
      </c>
      <c r="M75" s="36">
        <v>1488</v>
      </c>
      <c r="N75" s="36">
        <v>1713</v>
      </c>
      <c r="O75" s="36">
        <v>1842</v>
      </c>
      <c r="P75" s="36">
        <v>2032</v>
      </c>
      <c r="Q75" s="36">
        <v>1981</v>
      </c>
      <c r="R75" s="36">
        <v>2129</v>
      </c>
      <c r="S75" s="36">
        <v>1971</v>
      </c>
      <c r="T75" s="36">
        <v>1951</v>
      </c>
      <c r="U75" s="36">
        <v>1749</v>
      </c>
      <c r="V75" s="36">
        <v>1782</v>
      </c>
      <c r="W75" s="36">
        <v>1656</v>
      </c>
      <c r="X75" s="36">
        <v>1476</v>
      </c>
      <c r="Y75" s="36">
        <v>1323</v>
      </c>
    </row>
    <row r="76" spans="1:25">
      <c r="A76" s="28">
        <v>395</v>
      </c>
      <c r="B76" s="28" t="s">
        <v>80</v>
      </c>
      <c r="C76" s="28"/>
      <c r="D76" s="28"/>
      <c r="E76" s="28"/>
      <c r="F76" s="36" t="s">
        <v>194</v>
      </c>
      <c r="G76" s="36" t="s">
        <v>194</v>
      </c>
      <c r="H76" s="36" t="s">
        <v>194</v>
      </c>
      <c r="I76" s="36" t="s">
        <v>194</v>
      </c>
      <c r="J76" s="36" t="s">
        <v>194</v>
      </c>
      <c r="K76" s="36" t="s">
        <v>194</v>
      </c>
      <c r="L76" s="36" t="s">
        <v>194</v>
      </c>
      <c r="M76" s="36" t="s">
        <v>194</v>
      </c>
      <c r="N76" s="36" t="s">
        <v>194</v>
      </c>
      <c r="O76" s="36" t="s">
        <v>194</v>
      </c>
      <c r="P76" s="36" t="s">
        <v>194</v>
      </c>
      <c r="Q76" s="36" t="s">
        <v>194</v>
      </c>
      <c r="R76" s="36" t="s">
        <v>194</v>
      </c>
      <c r="S76" s="36" t="s">
        <v>194</v>
      </c>
      <c r="T76" s="36" t="s">
        <v>194</v>
      </c>
      <c r="U76" s="36" t="s">
        <v>194</v>
      </c>
      <c r="V76" s="36" t="s">
        <v>194</v>
      </c>
      <c r="W76" s="36">
        <v>6.2</v>
      </c>
      <c r="X76" s="36">
        <v>9.9</v>
      </c>
      <c r="Y76" s="36" t="s">
        <v>194</v>
      </c>
    </row>
    <row r="77" spans="1:25">
      <c r="A77" s="28">
        <v>750</v>
      </c>
      <c r="B77" s="28" t="s">
        <v>160</v>
      </c>
      <c r="C77" s="986">
        <v>14092</v>
      </c>
      <c r="D77" s="986">
        <v>15050</v>
      </c>
      <c r="E77" s="986">
        <v>14825</v>
      </c>
      <c r="F77" s="36">
        <v>13842</v>
      </c>
      <c r="G77" s="36">
        <v>13229</v>
      </c>
      <c r="H77" s="36">
        <v>14942</v>
      </c>
      <c r="I77" s="36">
        <v>15008</v>
      </c>
      <c r="J77" s="36">
        <v>15458</v>
      </c>
      <c r="K77" s="36">
        <v>15739</v>
      </c>
      <c r="L77" s="36">
        <v>17422</v>
      </c>
      <c r="M77" s="36">
        <v>18177</v>
      </c>
      <c r="N77" s="36">
        <v>21124</v>
      </c>
      <c r="O77" s="36">
        <v>21798</v>
      </c>
      <c r="P77" s="36">
        <v>22557</v>
      </c>
      <c r="Q77" s="36">
        <v>22487</v>
      </c>
      <c r="R77" s="36">
        <v>22989</v>
      </c>
      <c r="S77" s="36">
        <v>26679</v>
      </c>
      <c r="T77" s="36">
        <v>28196</v>
      </c>
      <c r="U77" s="36">
        <v>28365</v>
      </c>
      <c r="V77" s="36">
        <v>28765</v>
      </c>
      <c r="W77" s="36">
        <v>32106</v>
      </c>
      <c r="X77" s="36">
        <v>35819</v>
      </c>
      <c r="Y77" s="36">
        <v>34816</v>
      </c>
    </row>
    <row r="78" spans="1:25">
      <c r="A78" s="28">
        <v>850</v>
      </c>
      <c r="B78" s="28" t="s">
        <v>176</v>
      </c>
      <c r="C78" s="975">
        <v>1614</v>
      </c>
      <c r="D78" s="975">
        <v>1656</v>
      </c>
      <c r="E78" s="975">
        <v>1829</v>
      </c>
      <c r="F78" s="36">
        <v>1861</v>
      </c>
      <c r="G78" s="36">
        <v>2003</v>
      </c>
      <c r="H78" s="36">
        <v>1924</v>
      </c>
      <c r="I78" s="36">
        <v>2126</v>
      </c>
      <c r="J78" s="36">
        <v>2238</v>
      </c>
      <c r="K78" s="36">
        <v>2433</v>
      </c>
      <c r="L78" s="36">
        <v>2633</v>
      </c>
      <c r="M78" s="36">
        <v>2204</v>
      </c>
      <c r="N78" s="36">
        <v>1902</v>
      </c>
      <c r="O78" s="36" t="s">
        <v>194</v>
      </c>
      <c r="P78" s="36">
        <v>2025</v>
      </c>
      <c r="Q78" s="36">
        <v>3293</v>
      </c>
      <c r="R78" s="36">
        <v>4291</v>
      </c>
      <c r="S78" s="36">
        <v>4412</v>
      </c>
      <c r="T78" s="36">
        <v>4313</v>
      </c>
      <c r="U78" s="36">
        <v>4380</v>
      </c>
      <c r="V78" s="36">
        <v>5271</v>
      </c>
      <c r="W78" s="36">
        <v>4903</v>
      </c>
      <c r="X78" s="36">
        <v>4702</v>
      </c>
      <c r="Y78" s="36">
        <v>6009</v>
      </c>
    </row>
    <row r="79" spans="1:25">
      <c r="A79" s="28">
        <v>205</v>
      </c>
      <c r="B79" s="28" t="s">
        <v>36</v>
      </c>
      <c r="C79" s="1005">
        <v>820</v>
      </c>
      <c r="D79" s="1005">
        <v>816</v>
      </c>
      <c r="E79" s="1005">
        <v>1063</v>
      </c>
      <c r="F79" s="36">
        <v>1053</v>
      </c>
      <c r="G79" s="36">
        <v>1058</v>
      </c>
      <c r="H79" s="36">
        <v>1070</v>
      </c>
      <c r="I79" s="36">
        <v>1119</v>
      </c>
      <c r="J79" s="36">
        <v>1128</v>
      </c>
      <c r="K79" s="36">
        <v>1189</v>
      </c>
      <c r="L79" s="36">
        <v>1260</v>
      </c>
      <c r="M79" s="36">
        <v>1271</v>
      </c>
      <c r="N79" s="36">
        <v>1314</v>
      </c>
      <c r="O79" s="36">
        <v>1349</v>
      </c>
      <c r="P79" s="36">
        <v>1464</v>
      </c>
      <c r="Q79" s="36">
        <v>1405</v>
      </c>
      <c r="R79" s="36">
        <v>1347</v>
      </c>
      <c r="S79" s="36">
        <v>1368</v>
      </c>
      <c r="T79" s="36">
        <v>1386</v>
      </c>
      <c r="U79" s="36">
        <v>1374</v>
      </c>
      <c r="V79" s="36">
        <v>1384</v>
      </c>
      <c r="W79" s="36">
        <v>1434</v>
      </c>
      <c r="X79" s="36">
        <v>1415</v>
      </c>
      <c r="Y79" s="36">
        <v>1354</v>
      </c>
    </row>
    <row r="80" spans="1:25">
      <c r="A80" s="28">
        <v>630</v>
      </c>
      <c r="B80" s="28" t="s">
        <v>133</v>
      </c>
      <c r="C80" s="1022">
        <v>1676</v>
      </c>
      <c r="D80" s="1022">
        <v>2104</v>
      </c>
      <c r="E80" s="1022">
        <v>2279</v>
      </c>
      <c r="F80" s="36">
        <v>2215</v>
      </c>
      <c r="G80" s="36">
        <v>1971</v>
      </c>
      <c r="H80" s="36">
        <v>2675</v>
      </c>
      <c r="I80" s="36">
        <v>4136</v>
      </c>
      <c r="J80" s="36">
        <v>2979</v>
      </c>
      <c r="K80" s="36">
        <v>3310</v>
      </c>
      <c r="L80" s="36">
        <v>3689</v>
      </c>
      <c r="M80" s="36">
        <v>3891</v>
      </c>
      <c r="N80" s="36">
        <v>5435</v>
      </c>
      <c r="O80" s="36">
        <v>7816</v>
      </c>
      <c r="P80" s="36">
        <v>8552</v>
      </c>
      <c r="Q80" s="36">
        <v>6162</v>
      </c>
      <c r="R80" s="36">
        <v>7503</v>
      </c>
      <c r="S80" s="36">
        <v>9228</v>
      </c>
      <c r="T80" s="36">
        <v>11444</v>
      </c>
      <c r="U80" s="36">
        <v>12743</v>
      </c>
      <c r="V80" s="36">
        <v>10473</v>
      </c>
      <c r="W80" s="36">
        <v>7044</v>
      </c>
      <c r="X80" s="36" t="s">
        <v>194</v>
      </c>
      <c r="Y80" s="36" t="s">
        <v>194</v>
      </c>
    </row>
    <row r="81" spans="1:25">
      <c r="A81" s="28">
        <v>645</v>
      </c>
      <c r="B81" s="28" t="s">
        <v>135</v>
      </c>
      <c r="C81" s="28"/>
      <c r="D81" s="28"/>
      <c r="E81" s="28"/>
      <c r="F81" s="36" t="s">
        <v>194</v>
      </c>
      <c r="G81" s="36" t="s">
        <v>194</v>
      </c>
      <c r="H81" s="36" t="s">
        <v>194</v>
      </c>
      <c r="I81" s="36" t="s">
        <v>194</v>
      </c>
      <c r="J81" s="36" t="s">
        <v>194</v>
      </c>
      <c r="K81" s="36" t="s">
        <v>194</v>
      </c>
      <c r="L81" s="36" t="s">
        <v>194</v>
      </c>
      <c r="M81" s="36" t="s">
        <v>194</v>
      </c>
      <c r="N81" s="36" t="s">
        <v>194</v>
      </c>
      <c r="O81" s="36" t="s">
        <v>194</v>
      </c>
      <c r="P81" s="36" t="s">
        <v>194</v>
      </c>
      <c r="Q81" s="36" t="s">
        <v>194</v>
      </c>
      <c r="R81" s="36" t="s">
        <v>194</v>
      </c>
      <c r="S81" s="36">
        <v>2089</v>
      </c>
      <c r="T81" s="36">
        <v>2820</v>
      </c>
      <c r="U81" s="36">
        <v>2362</v>
      </c>
      <c r="V81" s="36">
        <v>2078</v>
      </c>
      <c r="W81" s="36">
        <v>5277</v>
      </c>
      <c r="X81" s="36">
        <v>4156</v>
      </c>
      <c r="Y81" s="36">
        <v>4663</v>
      </c>
    </row>
    <row r="82" spans="1:25">
      <c r="A82" s="28">
        <v>666</v>
      </c>
      <c r="B82" s="28" t="s">
        <v>140</v>
      </c>
      <c r="C82" s="1023">
        <v>11595</v>
      </c>
      <c r="D82" s="1023">
        <v>9812</v>
      </c>
      <c r="E82" s="1023">
        <v>10132</v>
      </c>
      <c r="F82" s="36">
        <v>13372</v>
      </c>
      <c r="G82" s="36">
        <v>10666</v>
      </c>
      <c r="H82" s="36">
        <v>11349</v>
      </c>
      <c r="I82" s="36">
        <v>10467</v>
      </c>
      <c r="J82" s="36">
        <v>10229</v>
      </c>
      <c r="K82" s="36">
        <v>10894</v>
      </c>
      <c r="L82" s="36">
        <v>10954</v>
      </c>
      <c r="M82" s="36">
        <v>11370</v>
      </c>
      <c r="N82" s="36">
        <v>11773</v>
      </c>
      <c r="O82" s="36">
        <v>12121</v>
      </c>
      <c r="P82" s="36">
        <v>12656</v>
      </c>
      <c r="Q82" s="36">
        <v>14037</v>
      </c>
      <c r="R82" s="36">
        <v>13194</v>
      </c>
      <c r="S82" s="36">
        <v>12594</v>
      </c>
      <c r="T82" s="36">
        <v>12903</v>
      </c>
      <c r="U82" s="36">
        <v>13687</v>
      </c>
      <c r="V82" s="36">
        <v>13458</v>
      </c>
      <c r="W82" s="36">
        <v>13074</v>
      </c>
      <c r="X82" s="36">
        <v>12373</v>
      </c>
      <c r="Y82" s="36">
        <v>13001</v>
      </c>
    </row>
    <row r="83" spans="1:25">
      <c r="A83" s="28">
        <v>325</v>
      </c>
      <c r="B83" s="28" t="s">
        <v>53</v>
      </c>
      <c r="C83" s="1006">
        <v>36435</v>
      </c>
      <c r="D83" s="1006">
        <v>36720</v>
      </c>
      <c r="E83" s="1006">
        <v>35321</v>
      </c>
      <c r="F83" s="36">
        <v>35819</v>
      </c>
      <c r="G83" s="36">
        <v>34790</v>
      </c>
      <c r="H83" s="36">
        <v>34975</v>
      </c>
      <c r="I83" s="36">
        <v>34111</v>
      </c>
      <c r="J83" s="36">
        <v>31153</v>
      </c>
      <c r="K83" s="36">
        <v>34341</v>
      </c>
      <c r="L83" s="36">
        <v>36005</v>
      </c>
      <c r="M83" s="36">
        <v>37193</v>
      </c>
      <c r="N83" s="36">
        <v>38651</v>
      </c>
      <c r="O83" s="36">
        <v>41229</v>
      </c>
      <c r="P83" s="36">
        <v>40553</v>
      </c>
      <c r="Q83" s="36">
        <v>41661</v>
      </c>
      <c r="R83" s="36">
        <v>41999</v>
      </c>
      <c r="S83" s="36">
        <v>42137</v>
      </c>
      <c r="T83" s="36">
        <v>40539</v>
      </c>
      <c r="U83" s="36">
        <v>39226</v>
      </c>
      <c r="V83" s="36">
        <v>38006</v>
      </c>
      <c r="W83" s="36">
        <v>39408</v>
      </c>
      <c r="X83" s="36">
        <v>38303</v>
      </c>
      <c r="Y83" s="36">
        <v>38198</v>
      </c>
    </row>
    <row r="84" spans="1:25">
      <c r="A84" s="28">
        <v>51</v>
      </c>
      <c r="B84" s="28" t="s">
        <v>6</v>
      </c>
      <c r="C84" s="28"/>
      <c r="D84" s="956">
        <v>46</v>
      </c>
      <c r="E84" s="956">
        <v>55.1</v>
      </c>
      <c r="F84" s="36">
        <v>50.8</v>
      </c>
      <c r="G84" s="36">
        <v>80.3</v>
      </c>
      <c r="H84" s="36">
        <v>67.5</v>
      </c>
      <c r="I84" s="36">
        <v>50.9</v>
      </c>
      <c r="J84" s="36">
        <v>62.5</v>
      </c>
      <c r="K84" s="36">
        <v>66.2</v>
      </c>
      <c r="L84" s="36">
        <v>74.2</v>
      </c>
      <c r="M84" s="36">
        <v>61</v>
      </c>
      <c r="N84" s="36">
        <v>58.2</v>
      </c>
      <c r="O84" s="36">
        <v>57.2</v>
      </c>
      <c r="P84" s="36">
        <v>60.9</v>
      </c>
      <c r="Q84" s="36">
        <v>73.5</v>
      </c>
      <c r="R84" s="36">
        <v>76.599999999999994</v>
      </c>
      <c r="S84" s="36">
        <v>71</v>
      </c>
      <c r="T84" s="36">
        <v>68.2</v>
      </c>
      <c r="U84" s="36">
        <v>81.2</v>
      </c>
      <c r="V84" s="36">
        <v>89.8</v>
      </c>
      <c r="W84" s="36">
        <v>121</v>
      </c>
      <c r="X84" s="36">
        <v>115</v>
      </c>
      <c r="Y84" s="36">
        <v>95.2</v>
      </c>
    </row>
    <row r="85" spans="1:25">
      <c r="A85" s="28">
        <v>663</v>
      </c>
      <c r="B85" s="28" t="s">
        <v>139</v>
      </c>
      <c r="C85" s="1024">
        <v>919</v>
      </c>
      <c r="D85" s="1024">
        <v>731</v>
      </c>
      <c r="E85" s="1024">
        <v>612</v>
      </c>
      <c r="F85" s="36">
        <v>780</v>
      </c>
      <c r="G85" s="36">
        <v>636</v>
      </c>
      <c r="H85" s="36">
        <v>667</v>
      </c>
      <c r="I85" s="36">
        <v>678</v>
      </c>
      <c r="J85" s="36">
        <v>488</v>
      </c>
      <c r="K85" s="36">
        <v>646</v>
      </c>
      <c r="L85" s="36">
        <v>667</v>
      </c>
      <c r="M85" s="36">
        <v>723</v>
      </c>
      <c r="N85" s="36">
        <v>741</v>
      </c>
      <c r="O85" s="36">
        <v>761</v>
      </c>
      <c r="P85" s="36">
        <v>747</v>
      </c>
      <c r="Q85" s="36">
        <v>724</v>
      </c>
      <c r="R85" s="36">
        <v>835</v>
      </c>
      <c r="S85" s="36">
        <v>775</v>
      </c>
      <c r="T85" s="36">
        <v>770</v>
      </c>
      <c r="U85" s="36">
        <v>843</v>
      </c>
      <c r="V85" s="36">
        <v>1177</v>
      </c>
      <c r="W85" s="36">
        <v>1331</v>
      </c>
      <c r="X85" s="36">
        <v>1404</v>
      </c>
      <c r="Y85" s="36">
        <v>1363</v>
      </c>
    </row>
    <row r="86" spans="1:25">
      <c r="A86" s="28">
        <v>740</v>
      </c>
      <c r="B86" s="28" t="s">
        <v>159</v>
      </c>
      <c r="C86" s="976">
        <v>43878</v>
      </c>
      <c r="D86" s="976">
        <v>45367</v>
      </c>
      <c r="E86" s="976">
        <v>46688</v>
      </c>
      <c r="F86" s="36">
        <v>47747</v>
      </c>
      <c r="G86" s="36">
        <v>48905</v>
      </c>
      <c r="H86" s="36">
        <v>49448</v>
      </c>
      <c r="I86" s="36">
        <v>49686</v>
      </c>
      <c r="J86" s="36">
        <v>50182</v>
      </c>
      <c r="K86" s="36">
        <v>51195</v>
      </c>
      <c r="L86" s="36">
        <v>51423</v>
      </c>
      <c r="M86" s="36">
        <v>51286</v>
      </c>
      <c r="N86" s="36">
        <v>51378</v>
      </c>
      <c r="O86" s="36">
        <v>51755</v>
      </c>
      <c r="P86" s="36">
        <v>52314</v>
      </c>
      <c r="Q86" s="36">
        <v>52844</v>
      </c>
      <c r="R86" s="36">
        <v>52954</v>
      </c>
      <c r="S86" s="36">
        <v>52470</v>
      </c>
      <c r="T86" s="36">
        <v>52270</v>
      </c>
      <c r="U86" s="36">
        <v>51616</v>
      </c>
      <c r="V86" s="36">
        <v>50905</v>
      </c>
      <c r="W86" s="36">
        <v>50221</v>
      </c>
      <c r="X86" s="36">
        <v>51008</v>
      </c>
      <c r="Y86" s="36">
        <v>51420</v>
      </c>
    </row>
    <row r="87" spans="1:25">
      <c r="A87" s="28">
        <v>501</v>
      </c>
      <c r="B87" s="28" t="s">
        <v>106</v>
      </c>
      <c r="C87" s="927">
        <v>841</v>
      </c>
      <c r="D87" s="927">
        <v>786</v>
      </c>
      <c r="E87" s="927">
        <v>816</v>
      </c>
      <c r="F87" s="36">
        <v>637</v>
      </c>
      <c r="G87" s="36">
        <v>468</v>
      </c>
      <c r="H87" s="36">
        <v>392</v>
      </c>
      <c r="I87" s="36">
        <v>326</v>
      </c>
      <c r="J87" s="36">
        <v>377</v>
      </c>
      <c r="K87" s="36">
        <v>440</v>
      </c>
      <c r="L87" s="36">
        <v>419</v>
      </c>
      <c r="M87" s="36">
        <v>394</v>
      </c>
      <c r="N87" s="36">
        <v>384</v>
      </c>
      <c r="O87" s="36">
        <v>412</v>
      </c>
      <c r="P87" s="36">
        <v>474</v>
      </c>
      <c r="Q87" s="36">
        <v>510</v>
      </c>
      <c r="R87" s="36">
        <v>515</v>
      </c>
      <c r="S87" s="36">
        <v>508</v>
      </c>
      <c r="T87" s="36">
        <v>536</v>
      </c>
      <c r="U87" s="36">
        <v>530</v>
      </c>
      <c r="V87" s="36">
        <v>594</v>
      </c>
      <c r="W87" s="36">
        <v>567</v>
      </c>
      <c r="X87" s="36">
        <v>580</v>
      </c>
      <c r="Y87" s="36">
        <v>594</v>
      </c>
    </row>
    <row r="88" spans="1:25">
      <c r="A88" s="28">
        <v>690</v>
      </c>
      <c r="B88" s="28" t="s">
        <v>143</v>
      </c>
      <c r="C88" s="1025">
        <v>3220</v>
      </c>
      <c r="D88" s="1025">
        <v>3997</v>
      </c>
      <c r="E88" s="1025">
        <v>15422</v>
      </c>
      <c r="F88" s="36">
        <v>20098</v>
      </c>
      <c r="G88" s="36">
        <v>10187</v>
      </c>
      <c r="H88" s="36">
        <v>4929</v>
      </c>
      <c r="I88" s="36">
        <v>5229</v>
      </c>
      <c r="J88" s="36">
        <v>5735</v>
      </c>
      <c r="K88" s="36">
        <v>4877</v>
      </c>
      <c r="L88" s="36">
        <v>3716</v>
      </c>
      <c r="M88" s="36">
        <v>3467</v>
      </c>
      <c r="N88" s="36">
        <v>3369</v>
      </c>
      <c r="O88" s="36">
        <v>3906</v>
      </c>
      <c r="P88" s="36">
        <v>3839</v>
      </c>
      <c r="Q88" s="36">
        <v>3962</v>
      </c>
      <c r="R88" s="36">
        <v>4269</v>
      </c>
      <c r="S88" s="36">
        <v>4595</v>
      </c>
      <c r="T88" s="36">
        <v>4447</v>
      </c>
      <c r="U88" s="36">
        <v>4419</v>
      </c>
      <c r="V88" s="36">
        <v>4707</v>
      </c>
      <c r="W88" s="36">
        <v>4336</v>
      </c>
      <c r="X88" s="36">
        <v>4334</v>
      </c>
      <c r="Y88" s="36">
        <v>4411</v>
      </c>
    </row>
    <row r="89" spans="1:25">
      <c r="A89" s="28">
        <v>703</v>
      </c>
      <c r="B89" s="28" t="s">
        <v>151</v>
      </c>
      <c r="C89" s="28"/>
      <c r="D89" s="28"/>
      <c r="E89" s="28"/>
      <c r="F89" s="36" t="s">
        <v>194</v>
      </c>
      <c r="G89" s="36">
        <v>55.3</v>
      </c>
      <c r="H89" s="36">
        <v>42.7</v>
      </c>
      <c r="I89" s="36">
        <v>55.8</v>
      </c>
      <c r="J89" s="36">
        <v>72</v>
      </c>
      <c r="K89" s="36">
        <v>68.3</v>
      </c>
      <c r="L89" s="36">
        <v>75.599999999999994</v>
      </c>
      <c r="M89" s="36">
        <v>65.400000000000006</v>
      </c>
      <c r="N89" s="36">
        <v>66.3</v>
      </c>
      <c r="O89" s="36">
        <v>82.1</v>
      </c>
      <c r="P89" s="36">
        <v>71.5</v>
      </c>
      <c r="Q89" s="36">
        <v>82.9</v>
      </c>
      <c r="R89" s="36">
        <v>94.4</v>
      </c>
      <c r="S89" s="36">
        <v>101</v>
      </c>
      <c r="T89" s="36">
        <v>112</v>
      </c>
      <c r="U89" s="36">
        <v>123</v>
      </c>
      <c r="V89" s="36">
        <v>149</v>
      </c>
      <c r="W89" s="36">
        <v>160</v>
      </c>
      <c r="X89" s="36">
        <v>167</v>
      </c>
      <c r="Y89" s="36" t="s">
        <v>194</v>
      </c>
    </row>
    <row r="90" spans="1:25">
      <c r="A90" s="28">
        <v>705</v>
      </c>
      <c r="B90" s="28" t="s">
        <v>153</v>
      </c>
      <c r="C90" s="28"/>
      <c r="D90" s="28"/>
      <c r="E90" s="28"/>
      <c r="F90" s="36" t="s">
        <v>194</v>
      </c>
      <c r="G90" s="36" t="s">
        <v>194</v>
      </c>
      <c r="H90" s="36">
        <v>506</v>
      </c>
      <c r="I90" s="36">
        <v>324</v>
      </c>
      <c r="J90" s="36">
        <v>334</v>
      </c>
      <c r="K90" s="36">
        <v>361</v>
      </c>
      <c r="L90" s="36">
        <v>338</v>
      </c>
      <c r="M90" s="36">
        <v>335</v>
      </c>
      <c r="N90" s="36">
        <v>280</v>
      </c>
      <c r="O90" s="36">
        <v>294</v>
      </c>
      <c r="P90" s="36">
        <v>432</v>
      </c>
      <c r="Q90" s="36">
        <v>473</v>
      </c>
      <c r="R90" s="36">
        <v>560</v>
      </c>
      <c r="S90" s="36">
        <v>640</v>
      </c>
      <c r="T90" s="36">
        <v>806</v>
      </c>
      <c r="U90" s="36">
        <v>944</v>
      </c>
      <c r="V90" s="36">
        <v>1420</v>
      </c>
      <c r="W90" s="36">
        <v>1349</v>
      </c>
      <c r="X90" s="36">
        <v>1272</v>
      </c>
      <c r="Y90" s="36">
        <v>1227</v>
      </c>
    </row>
    <row r="91" spans="1:25">
      <c r="A91" s="28">
        <v>812</v>
      </c>
      <c r="B91" s="28" t="s">
        <v>170</v>
      </c>
      <c r="C91" s="28"/>
      <c r="D91" s="28"/>
      <c r="E91" s="28"/>
      <c r="F91" s="36" t="s">
        <v>194</v>
      </c>
      <c r="G91" s="36">
        <v>178</v>
      </c>
      <c r="H91" s="36">
        <v>175</v>
      </c>
      <c r="I91" s="36">
        <v>177</v>
      </c>
      <c r="J91" s="36">
        <v>159</v>
      </c>
      <c r="K91" s="36">
        <v>114</v>
      </c>
      <c r="L91" s="36">
        <v>95.4</v>
      </c>
      <c r="M91" s="36">
        <v>72.3</v>
      </c>
      <c r="N91" s="36">
        <v>31.7</v>
      </c>
      <c r="O91" s="36">
        <v>24.6</v>
      </c>
      <c r="P91" s="36">
        <v>23.9</v>
      </c>
      <c r="Q91" s="36">
        <v>22.2</v>
      </c>
      <c r="R91" s="36">
        <v>19.2</v>
      </c>
      <c r="S91" s="36">
        <v>18.2</v>
      </c>
      <c r="T91" s="36">
        <v>17.600000000000001</v>
      </c>
      <c r="U91" s="36">
        <v>17.8</v>
      </c>
      <c r="V91" s="36">
        <v>17.7</v>
      </c>
      <c r="W91" s="36">
        <v>17.600000000000001</v>
      </c>
      <c r="X91" s="36">
        <v>18.399999999999999</v>
      </c>
      <c r="Y91" s="36" t="s">
        <v>194</v>
      </c>
    </row>
    <row r="92" spans="1:25">
      <c r="A92" s="28">
        <v>367</v>
      </c>
      <c r="B92" s="28" t="s">
        <v>69</v>
      </c>
      <c r="C92" s="28"/>
      <c r="D92" s="28"/>
      <c r="E92" s="28"/>
      <c r="F92" s="36" t="s">
        <v>194</v>
      </c>
      <c r="G92" s="36" t="s">
        <v>194</v>
      </c>
      <c r="H92" s="36">
        <v>96.5</v>
      </c>
      <c r="I92" s="36">
        <v>112</v>
      </c>
      <c r="J92" s="36">
        <v>109</v>
      </c>
      <c r="K92" s="36">
        <v>84.5</v>
      </c>
      <c r="L92" s="36">
        <v>82</v>
      </c>
      <c r="M92" s="36">
        <v>88</v>
      </c>
      <c r="N92" s="36">
        <v>115</v>
      </c>
      <c r="O92" s="36">
        <v>143</v>
      </c>
      <c r="P92" s="36">
        <v>180</v>
      </c>
      <c r="Q92" s="36">
        <v>294</v>
      </c>
      <c r="R92" s="36">
        <v>339</v>
      </c>
      <c r="S92" s="36">
        <v>366</v>
      </c>
      <c r="T92" s="36">
        <v>426</v>
      </c>
      <c r="U92" s="36">
        <v>536</v>
      </c>
      <c r="V92" s="36">
        <v>584</v>
      </c>
      <c r="W92" s="36">
        <v>572</v>
      </c>
      <c r="X92" s="36">
        <v>364</v>
      </c>
      <c r="Y92" s="36">
        <v>268</v>
      </c>
    </row>
    <row r="93" spans="1:25">
      <c r="A93" s="28">
        <v>450</v>
      </c>
      <c r="B93" s="28" t="s">
        <v>94</v>
      </c>
      <c r="C93" s="28"/>
      <c r="D93" s="28"/>
      <c r="E93" s="28"/>
      <c r="F93" s="36" t="s">
        <v>194</v>
      </c>
      <c r="G93" s="36" t="s">
        <v>194</v>
      </c>
      <c r="H93" s="36" t="s">
        <v>194</v>
      </c>
      <c r="I93" s="36" t="s">
        <v>194</v>
      </c>
      <c r="J93" s="36" t="s">
        <v>194</v>
      </c>
      <c r="K93" s="36" t="s">
        <v>194</v>
      </c>
      <c r="L93" s="36" t="s">
        <v>194</v>
      </c>
      <c r="M93" s="36" t="s">
        <v>194</v>
      </c>
      <c r="N93" s="36" t="s">
        <v>194</v>
      </c>
      <c r="O93" s="36" t="s">
        <v>194</v>
      </c>
      <c r="P93" s="36" t="s">
        <v>194</v>
      </c>
      <c r="Q93" s="36" t="s">
        <v>194</v>
      </c>
      <c r="R93" s="36">
        <v>1.1000000000000001</v>
      </c>
      <c r="S93" s="36">
        <v>4.2</v>
      </c>
      <c r="T93" s="36">
        <v>10.3</v>
      </c>
      <c r="U93" s="36">
        <v>4.8</v>
      </c>
      <c r="V93" s="36">
        <v>3.9</v>
      </c>
      <c r="W93" s="36">
        <v>3.9</v>
      </c>
      <c r="X93" s="36">
        <v>7.2</v>
      </c>
      <c r="Y93" s="36" t="s">
        <v>194</v>
      </c>
    </row>
    <row r="94" spans="1:25">
      <c r="A94" s="28">
        <v>660</v>
      </c>
      <c r="B94" s="28" t="s">
        <v>138</v>
      </c>
      <c r="C94" s="1026">
        <v>266</v>
      </c>
      <c r="D94" s="28"/>
      <c r="E94" s="1027">
        <v>846</v>
      </c>
      <c r="F94" s="36">
        <v>657</v>
      </c>
      <c r="G94" s="36">
        <v>1170</v>
      </c>
      <c r="H94" s="36">
        <v>976</v>
      </c>
      <c r="I94" s="36">
        <v>1225</v>
      </c>
      <c r="J94" s="36">
        <v>1255</v>
      </c>
      <c r="K94" s="36">
        <v>1101</v>
      </c>
      <c r="L94" s="36">
        <v>922</v>
      </c>
      <c r="M94" s="36">
        <v>889</v>
      </c>
      <c r="N94" s="36">
        <v>1055</v>
      </c>
      <c r="O94" s="36">
        <v>1187</v>
      </c>
      <c r="P94" s="36">
        <v>1228</v>
      </c>
      <c r="Q94" s="36">
        <v>1142</v>
      </c>
      <c r="R94" s="36">
        <v>1148</v>
      </c>
      <c r="S94" s="36">
        <v>1167</v>
      </c>
      <c r="T94" s="36">
        <v>1185</v>
      </c>
      <c r="U94" s="36">
        <v>1177</v>
      </c>
      <c r="V94" s="36">
        <v>1292</v>
      </c>
      <c r="W94" s="36">
        <v>1184</v>
      </c>
      <c r="X94" s="36">
        <v>1426</v>
      </c>
      <c r="Y94" s="36">
        <v>1564</v>
      </c>
    </row>
    <row r="95" spans="1:25">
      <c r="A95" s="28">
        <v>570</v>
      </c>
      <c r="B95" s="28" t="s">
        <v>121</v>
      </c>
      <c r="C95" s="928">
        <v>23.9</v>
      </c>
      <c r="D95" s="928">
        <v>32.1</v>
      </c>
      <c r="E95" s="928">
        <v>30.3</v>
      </c>
      <c r="F95" s="36">
        <v>25.7</v>
      </c>
      <c r="G95" s="36">
        <v>21.2</v>
      </c>
      <c r="H95" s="36">
        <v>19.399999999999999</v>
      </c>
      <c r="I95" s="36">
        <v>23.1</v>
      </c>
      <c r="J95" s="36">
        <v>28.7</v>
      </c>
      <c r="K95" s="36">
        <v>25.7</v>
      </c>
      <c r="L95" s="36" t="s">
        <v>194</v>
      </c>
      <c r="M95" s="36" t="s">
        <v>194</v>
      </c>
      <c r="N95" s="36">
        <v>49.7</v>
      </c>
      <c r="O95" s="36">
        <v>47.7</v>
      </c>
      <c r="P95" s="36">
        <v>50.1</v>
      </c>
      <c r="Q95" s="36">
        <v>38.299999999999997</v>
      </c>
      <c r="R95" s="36">
        <v>36.1</v>
      </c>
      <c r="S95" s="36">
        <v>33.6</v>
      </c>
      <c r="T95" s="36">
        <v>34.299999999999997</v>
      </c>
      <c r="U95" s="36">
        <v>36.1</v>
      </c>
      <c r="V95" s="36">
        <v>39.299999999999997</v>
      </c>
      <c r="W95" s="36">
        <v>27.3</v>
      </c>
      <c r="X95" s="36">
        <v>45.6</v>
      </c>
      <c r="Y95" s="36" t="s">
        <v>194</v>
      </c>
    </row>
    <row r="96" spans="1:25">
      <c r="A96" s="28">
        <v>620</v>
      </c>
      <c r="B96" s="28" t="s">
        <v>131</v>
      </c>
      <c r="C96" s="28"/>
      <c r="D96" s="28"/>
      <c r="E96" s="28"/>
      <c r="F96" s="36" t="s">
        <v>194</v>
      </c>
      <c r="G96" s="36" t="s">
        <v>194</v>
      </c>
      <c r="H96" s="36" t="s">
        <v>194</v>
      </c>
      <c r="I96" s="36" t="s">
        <v>194</v>
      </c>
      <c r="J96" s="36" t="s">
        <v>194</v>
      </c>
      <c r="K96" s="36" t="s">
        <v>194</v>
      </c>
      <c r="L96" s="36">
        <v>468</v>
      </c>
      <c r="M96" s="36">
        <v>528</v>
      </c>
      <c r="N96" s="36">
        <v>408</v>
      </c>
      <c r="O96" s="36">
        <v>437</v>
      </c>
      <c r="P96" s="36">
        <v>427</v>
      </c>
      <c r="Q96" s="36">
        <v>549</v>
      </c>
      <c r="R96" s="36">
        <v>683</v>
      </c>
      <c r="S96" s="36">
        <v>892</v>
      </c>
      <c r="T96" s="36">
        <v>879</v>
      </c>
      <c r="U96" s="36">
        <v>773</v>
      </c>
      <c r="V96" s="36">
        <v>728</v>
      </c>
      <c r="W96" s="36">
        <v>1100</v>
      </c>
      <c r="X96" s="36" t="s">
        <v>194</v>
      </c>
      <c r="Y96" s="36" t="s">
        <v>194</v>
      </c>
    </row>
    <row r="97" spans="1:25">
      <c r="A97" s="28">
        <v>368</v>
      </c>
      <c r="B97" s="28" t="s">
        <v>70</v>
      </c>
      <c r="C97" s="28"/>
      <c r="D97" s="28"/>
      <c r="E97" s="28"/>
      <c r="F97" s="36" t="s">
        <v>194</v>
      </c>
      <c r="G97" s="36" t="s">
        <v>194</v>
      </c>
      <c r="H97" s="36">
        <v>168</v>
      </c>
      <c r="I97" s="36">
        <v>90.7</v>
      </c>
      <c r="J97" s="36">
        <v>94.4</v>
      </c>
      <c r="K97" s="36">
        <v>105</v>
      </c>
      <c r="L97" s="36">
        <v>173</v>
      </c>
      <c r="M97" s="36">
        <v>300</v>
      </c>
      <c r="N97" s="36">
        <v>249</v>
      </c>
      <c r="O97" s="36">
        <v>425</v>
      </c>
      <c r="P97" s="37">
        <v>453</v>
      </c>
      <c r="Q97" s="37">
        <v>465</v>
      </c>
      <c r="R97" s="37">
        <v>514</v>
      </c>
      <c r="S97" s="37">
        <v>492</v>
      </c>
      <c r="T97" s="37">
        <v>532</v>
      </c>
      <c r="U97" s="37">
        <v>579</v>
      </c>
      <c r="V97" s="37">
        <v>632</v>
      </c>
      <c r="W97" s="37">
        <v>661</v>
      </c>
      <c r="X97" s="37">
        <v>504</v>
      </c>
      <c r="Y97" s="37">
        <v>427</v>
      </c>
    </row>
    <row r="98" spans="1:25">
      <c r="A98" s="28">
        <v>212</v>
      </c>
      <c r="B98" s="28" t="s">
        <v>39</v>
      </c>
      <c r="C98" s="1007">
        <v>177</v>
      </c>
      <c r="D98" s="1007">
        <v>162</v>
      </c>
      <c r="E98" s="1007">
        <v>169</v>
      </c>
      <c r="F98" s="36">
        <v>186</v>
      </c>
      <c r="G98" s="36">
        <v>194</v>
      </c>
      <c r="H98" s="36">
        <v>177</v>
      </c>
      <c r="I98" s="36">
        <v>195</v>
      </c>
      <c r="J98" s="36">
        <v>191</v>
      </c>
      <c r="K98" s="36">
        <v>196</v>
      </c>
      <c r="L98" s="36">
        <v>212</v>
      </c>
      <c r="M98" s="36">
        <v>228</v>
      </c>
      <c r="N98" s="36">
        <v>231</v>
      </c>
      <c r="O98" s="36">
        <v>236</v>
      </c>
      <c r="P98" s="36">
        <v>296</v>
      </c>
      <c r="Q98" s="36">
        <v>264</v>
      </c>
      <c r="R98" s="36">
        <v>279</v>
      </c>
      <c r="S98" s="36">
        <v>293</v>
      </c>
      <c r="T98" s="36">
        <v>297</v>
      </c>
      <c r="U98" s="36">
        <v>291</v>
      </c>
      <c r="V98" s="36">
        <v>301</v>
      </c>
      <c r="W98" s="36" t="s">
        <v>194</v>
      </c>
      <c r="X98" s="36" t="s">
        <v>194</v>
      </c>
      <c r="Y98" s="36" t="s">
        <v>194</v>
      </c>
    </row>
    <row r="99" spans="1:25">
      <c r="A99" s="28">
        <v>435</v>
      </c>
      <c r="B99" s="28" t="s">
        <v>89</v>
      </c>
      <c r="C99" s="932">
        <v>47.2</v>
      </c>
      <c r="D99" s="932">
        <v>41.7</v>
      </c>
      <c r="E99" s="932">
        <v>39.200000000000003</v>
      </c>
      <c r="F99" s="36">
        <v>37.1</v>
      </c>
      <c r="G99" s="36">
        <v>35.700000000000003</v>
      </c>
      <c r="H99" s="36">
        <v>34.700000000000003</v>
      </c>
      <c r="I99" s="36">
        <v>33.299999999999997</v>
      </c>
      <c r="J99" s="36">
        <v>35.6</v>
      </c>
      <c r="K99" s="36">
        <v>42.6</v>
      </c>
      <c r="L99" s="36">
        <v>49.5</v>
      </c>
      <c r="M99" s="36">
        <v>35</v>
      </c>
      <c r="N99" s="36">
        <v>46.6</v>
      </c>
      <c r="O99" s="36">
        <v>61.1</v>
      </c>
      <c r="P99" s="36">
        <v>85.4</v>
      </c>
      <c r="Q99" s="36">
        <v>61.1</v>
      </c>
      <c r="R99" s="36">
        <v>96.9</v>
      </c>
      <c r="S99" s="36">
        <v>99.6</v>
      </c>
      <c r="T99" s="36">
        <v>84.4</v>
      </c>
      <c r="U99" s="36">
        <v>98.7</v>
      </c>
      <c r="V99" s="36" t="s">
        <v>194</v>
      </c>
      <c r="W99" s="36">
        <v>114</v>
      </c>
      <c r="X99" s="36">
        <v>115</v>
      </c>
      <c r="Y99" s="36" t="s">
        <v>194</v>
      </c>
    </row>
    <row r="100" spans="1:25">
      <c r="A100" s="28">
        <v>343</v>
      </c>
      <c r="B100" s="28" t="s">
        <v>57</v>
      </c>
      <c r="C100" s="28"/>
      <c r="D100" s="28"/>
      <c r="E100" s="28"/>
      <c r="F100" s="36" t="s">
        <v>194</v>
      </c>
      <c r="G100" s="36" t="s">
        <v>194</v>
      </c>
      <c r="H100" s="36" t="s">
        <v>194</v>
      </c>
      <c r="I100" s="36" t="s">
        <v>194</v>
      </c>
      <c r="J100" s="36" t="s">
        <v>194</v>
      </c>
      <c r="K100" s="36">
        <v>160</v>
      </c>
      <c r="L100" s="36">
        <v>126</v>
      </c>
      <c r="M100" s="36">
        <v>129</v>
      </c>
      <c r="N100" s="36">
        <v>115</v>
      </c>
      <c r="O100" s="36">
        <v>131</v>
      </c>
      <c r="P100" s="36">
        <v>418</v>
      </c>
      <c r="Q100" s="36">
        <v>181</v>
      </c>
      <c r="R100" s="36">
        <v>165</v>
      </c>
      <c r="S100" s="36">
        <v>173</v>
      </c>
      <c r="T100" s="36">
        <v>162</v>
      </c>
      <c r="U100" s="36">
        <v>154</v>
      </c>
      <c r="V100" s="36">
        <v>176</v>
      </c>
      <c r="W100" s="36">
        <v>163</v>
      </c>
      <c r="X100" s="36">
        <v>159</v>
      </c>
      <c r="Y100" s="36">
        <v>145</v>
      </c>
    </row>
    <row r="101" spans="1:25">
      <c r="A101" s="28">
        <v>580</v>
      </c>
      <c r="B101" s="28" t="s">
        <v>124</v>
      </c>
      <c r="C101" s="929">
        <v>64.099999999999994</v>
      </c>
      <c r="D101" s="929">
        <v>61.6</v>
      </c>
      <c r="E101" s="929">
        <v>64.5</v>
      </c>
      <c r="F101" s="36">
        <v>66.7</v>
      </c>
      <c r="G101" s="36">
        <v>39.4</v>
      </c>
      <c r="H101" s="36">
        <v>60.2</v>
      </c>
      <c r="I101" s="36">
        <v>50.6</v>
      </c>
      <c r="J101" s="36">
        <v>46.5</v>
      </c>
      <c r="K101" s="36">
        <v>67.3</v>
      </c>
      <c r="L101" s="36">
        <v>85.8</v>
      </c>
      <c r="M101" s="36">
        <v>82.9</v>
      </c>
      <c r="N101" s="36">
        <v>77.7</v>
      </c>
      <c r="O101" s="36">
        <v>78.5</v>
      </c>
      <c r="P101" s="36">
        <v>98.4</v>
      </c>
      <c r="Q101" s="36">
        <v>78.099999999999994</v>
      </c>
      <c r="R101" s="36">
        <v>90</v>
      </c>
      <c r="S101" s="36">
        <v>89.7</v>
      </c>
      <c r="T101" s="36">
        <v>80.400000000000006</v>
      </c>
      <c r="U101" s="36">
        <v>77.5</v>
      </c>
      <c r="V101" s="36">
        <v>93.4</v>
      </c>
      <c r="W101" s="36">
        <v>98.3</v>
      </c>
      <c r="X101" s="36">
        <v>71</v>
      </c>
      <c r="Y101" s="36">
        <v>55.7</v>
      </c>
    </row>
    <row r="102" spans="1:25">
      <c r="A102" s="28">
        <v>820</v>
      </c>
      <c r="B102" s="28" t="s">
        <v>172</v>
      </c>
      <c r="C102" s="978">
        <v>1162</v>
      </c>
      <c r="D102" s="978">
        <v>1392</v>
      </c>
      <c r="E102" s="978">
        <v>1495</v>
      </c>
      <c r="F102" s="36">
        <v>2035</v>
      </c>
      <c r="G102" s="36">
        <v>2022</v>
      </c>
      <c r="H102" s="36">
        <v>2149</v>
      </c>
      <c r="I102" s="36">
        <v>2328</v>
      </c>
      <c r="J102" s="36">
        <v>2476</v>
      </c>
      <c r="K102" s="36">
        <v>2380</v>
      </c>
      <c r="L102" s="36">
        <v>2237</v>
      </c>
      <c r="M102" s="36">
        <v>1644</v>
      </c>
      <c r="N102" s="36">
        <v>2225</v>
      </c>
      <c r="O102" s="36">
        <v>2020</v>
      </c>
      <c r="P102" s="36">
        <v>2513</v>
      </c>
      <c r="Q102" s="36">
        <v>2855</v>
      </c>
      <c r="R102" s="36">
        <v>3640</v>
      </c>
      <c r="S102" s="36">
        <v>3513</v>
      </c>
      <c r="T102" s="36">
        <v>3758</v>
      </c>
      <c r="U102" s="36">
        <v>3678</v>
      </c>
      <c r="V102" s="36">
        <v>4107</v>
      </c>
      <c r="W102" s="36">
        <v>4199</v>
      </c>
      <c r="X102" s="36">
        <v>3881</v>
      </c>
      <c r="Y102" s="36">
        <v>3259</v>
      </c>
    </row>
    <row r="103" spans="1:25">
      <c r="A103" s="28">
        <v>590</v>
      </c>
      <c r="B103" s="28" t="s">
        <v>126</v>
      </c>
      <c r="C103" s="933">
        <v>8.1999999999999993</v>
      </c>
      <c r="D103" s="933">
        <v>11.2</v>
      </c>
      <c r="E103" s="933">
        <v>13.9</v>
      </c>
      <c r="F103" s="36">
        <v>15.7</v>
      </c>
      <c r="G103" s="36">
        <v>16.2</v>
      </c>
      <c r="H103" s="36">
        <v>15.7</v>
      </c>
      <c r="I103" s="36">
        <v>16.3</v>
      </c>
      <c r="J103" s="36">
        <v>16.899999999999999</v>
      </c>
      <c r="K103" s="36">
        <v>15.8</v>
      </c>
      <c r="L103" s="36">
        <v>13.1</v>
      </c>
      <c r="M103" s="36">
        <v>12.1</v>
      </c>
      <c r="N103" s="36">
        <v>12.7</v>
      </c>
      <c r="O103" s="36">
        <v>13.1</v>
      </c>
      <c r="P103" s="36">
        <v>13.3</v>
      </c>
      <c r="Q103" s="36">
        <v>13.6</v>
      </c>
      <c r="R103" s="36">
        <v>13.9</v>
      </c>
      <c r="S103" s="36">
        <v>13.2</v>
      </c>
      <c r="T103" s="36">
        <v>13.4</v>
      </c>
      <c r="U103" s="36">
        <v>13.1</v>
      </c>
      <c r="V103" s="36">
        <v>12.8</v>
      </c>
      <c r="W103" s="36">
        <v>14</v>
      </c>
      <c r="X103" s="36" t="s">
        <v>194</v>
      </c>
      <c r="Y103" s="36" t="s">
        <v>194</v>
      </c>
    </row>
    <row r="104" spans="1:25">
      <c r="A104" s="28">
        <v>553</v>
      </c>
      <c r="B104" s="28" t="s">
        <v>118</v>
      </c>
      <c r="C104" s="930">
        <v>20.399999999999999</v>
      </c>
      <c r="D104" s="930">
        <v>22.1</v>
      </c>
      <c r="E104" s="930">
        <v>20.9</v>
      </c>
      <c r="F104" s="36">
        <v>18.600000000000001</v>
      </c>
      <c r="G104" s="36">
        <v>20.5</v>
      </c>
      <c r="H104" s="36">
        <v>20.8</v>
      </c>
      <c r="I104" s="36">
        <v>20.399999999999999</v>
      </c>
      <c r="J104" s="36">
        <v>12.6</v>
      </c>
      <c r="K104" s="36">
        <v>16.7</v>
      </c>
      <c r="L104" s="36">
        <v>21.5</v>
      </c>
      <c r="M104" s="36">
        <v>17.2</v>
      </c>
      <c r="N104" s="36">
        <v>16.8</v>
      </c>
      <c r="O104" s="36">
        <v>14.2</v>
      </c>
      <c r="P104" s="36">
        <v>15.2</v>
      </c>
      <c r="Q104" s="36">
        <v>16.399999999999999</v>
      </c>
      <c r="R104" s="36">
        <v>16.899999999999999</v>
      </c>
      <c r="S104" s="36">
        <v>28.4</v>
      </c>
      <c r="T104" s="36">
        <v>41.4</v>
      </c>
      <c r="U104" s="36">
        <v>47.4</v>
      </c>
      <c r="V104" s="36">
        <v>48.6</v>
      </c>
      <c r="W104" s="36" t="s">
        <v>194</v>
      </c>
      <c r="X104" s="36" t="s">
        <v>194</v>
      </c>
      <c r="Y104" s="36" t="s">
        <v>194</v>
      </c>
    </row>
    <row r="105" spans="1:25">
      <c r="A105" s="28">
        <v>70</v>
      </c>
      <c r="B105" s="28" t="s">
        <v>15</v>
      </c>
      <c r="C105" s="957">
        <v>1960</v>
      </c>
      <c r="D105" s="957">
        <v>2077</v>
      </c>
      <c r="E105" s="957">
        <v>2156</v>
      </c>
      <c r="F105" s="36">
        <v>2379</v>
      </c>
      <c r="G105" s="36">
        <v>2641</v>
      </c>
      <c r="H105" s="36">
        <v>2818</v>
      </c>
      <c r="I105" s="36">
        <v>3543</v>
      </c>
      <c r="J105" s="36">
        <v>2960</v>
      </c>
      <c r="K105" s="36">
        <v>3142</v>
      </c>
      <c r="L105" s="36">
        <v>3148</v>
      </c>
      <c r="M105" s="36">
        <v>3247</v>
      </c>
      <c r="N105" s="36">
        <v>3416</v>
      </c>
      <c r="O105" s="36">
        <v>3526</v>
      </c>
      <c r="P105" s="36">
        <v>3490</v>
      </c>
      <c r="Q105" s="36">
        <v>3373</v>
      </c>
      <c r="R105" s="36">
        <v>3364</v>
      </c>
      <c r="S105" s="36">
        <v>3241</v>
      </c>
      <c r="T105" s="36">
        <v>3483</v>
      </c>
      <c r="U105" s="36">
        <v>3789</v>
      </c>
      <c r="V105" s="36">
        <v>4279</v>
      </c>
      <c r="W105" s="36">
        <v>4284</v>
      </c>
      <c r="X105" s="36">
        <v>4762</v>
      </c>
      <c r="Y105" s="36">
        <v>4859</v>
      </c>
    </row>
    <row r="106" spans="1:25">
      <c r="A106" s="28">
        <v>359</v>
      </c>
      <c r="B106" s="28" t="s">
        <v>65</v>
      </c>
      <c r="C106" s="28"/>
      <c r="D106" s="28"/>
      <c r="E106" s="28"/>
      <c r="F106" s="36" t="s">
        <v>194</v>
      </c>
      <c r="G106" s="36" t="s">
        <v>194</v>
      </c>
      <c r="H106" s="36">
        <v>36.1</v>
      </c>
      <c r="I106" s="36">
        <v>22.9</v>
      </c>
      <c r="J106" s="36">
        <v>34.1</v>
      </c>
      <c r="K106" s="36">
        <v>32.6</v>
      </c>
      <c r="L106" s="36">
        <v>33.200000000000003</v>
      </c>
      <c r="M106" s="36">
        <v>21.8</v>
      </c>
      <c r="N106" s="36">
        <v>17.3</v>
      </c>
      <c r="O106" s="36">
        <v>13.2</v>
      </c>
      <c r="P106" s="36">
        <v>14.6</v>
      </c>
      <c r="Q106" s="36">
        <v>17.100000000000001</v>
      </c>
      <c r="R106" s="36">
        <v>18.600000000000001</v>
      </c>
      <c r="S106" s="36">
        <v>16.600000000000001</v>
      </c>
      <c r="T106" s="36">
        <v>19.399999999999999</v>
      </c>
      <c r="U106" s="36">
        <v>24.6</v>
      </c>
      <c r="V106" s="36">
        <v>28</v>
      </c>
      <c r="W106" s="36">
        <v>34.4</v>
      </c>
      <c r="X106" s="36">
        <v>24.9</v>
      </c>
      <c r="Y106" s="36">
        <v>19</v>
      </c>
    </row>
    <row r="107" spans="1:25">
      <c r="A107" s="28">
        <v>432</v>
      </c>
      <c r="B107" s="28" t="s">
        <v>86</v>
      </c>
      <c r="C107" s="931">
        <v>56.8</v>
      </c>
      <c r="D107" s="931">
        <v>58.4</v>
      </c>
      <c r="E107" s="931">
        <v>56.1</v>
      </c>
      <c r="F107" s="36" t="s">
        <v>194</v>
      </c>
      <c r="G107" s="36" t="s">
        <v>194</v>
      </c>
      <c r="H107" s="36">
        <v>69.7</v>
      </c>
      <c r="I107" s="36">
        <v>74.8</v>
      </c>
      <c r="J107" s="36">
        <v>80</v>
      </c>
      <c r="K107" s="36">
        <v>75.400000000000006</v>
      </c>
      <c r="L107" s="36">
        <v>87.4</v>
      </c>
      <c r="M107" s="36">
        <v>86.4</v>
      </c>
      <c r="N107" s="36">
        <v>97.7</v>
      </c>
      <c r="O107" s="36">
        <v>113</v>
      </c>
      <c r="P107" s="36">
        <v>114</v>
      </c>
      <c r="Q107" s="36">
        <v>113</v>
      </c>
      <c r="R107" s="36">
        <v>129</v>
      </c>
      <c r="S107" s="36">
        <v>141</v>
      </c>
      <c r="T107" s="36">
        <v>154</v>
      </c>
      <c r="U107" s="36">
        <v>165</v>
      </c>
      <c r="V107" s="36">
        <v>179</v>
      </c>
      <c r="W107" s="36">
        <v>167</v>
      </c>
      <c r="X107" s="36">
        <v>174</v>
      </c>
      <c r="Y107" s="36">
        <v>183</v>
      </c>
    </row>
    <row r="108" spans="1:25">
      <c r="A108" s="28">
        <v>338</v>
      </c>
      <c r="B108" s="28" t="s">
        <v>55</v>
      </c>
      <c r="C108" s="1008">
        <v>41.3</v>
      </c>
      <c r="D108" s="1008">
        <v>41.1</v>
      </c>
      <c r="E108" s="1008">
        <v>36.1</v>
      </c>
      <c r="F108" s="36">
        <v>36.799999999999997</v>
      </c>
      <c r="G108" s="36">
        <v>43.9</v>
      </c>
      <c r="H108" s="36">
        <v>46.6</v>
      </c>
      <c r="I108" s="36">
        <v>50.1</v>
      </c>
      <c r="J108" s="36">
        <v>50.1</v>
      </c>
      <c r="K108" s="36">
        <v>53.6</v>
      </c>
      <c r="L108" s="36">
        <v>52</v>
      </c>
      <c r="M108" s="36">
        <v>47.7</v>
      </c>
      <c r="N108" s="36">
        <v>46.2</v>
      </c>
      <c r="O108" s="36">
        <v>44.9</v>
      </c>
      <c r="P108" s="36">
        <v>47.9</v>
      </c>
      <c r="Q108" s="36">
        <v>47.3</v>
      </c>
      <c r="R108" s="36">
        <v>48.8</v>
      </c>
      <c r="S108" s="36">
        <v>51.6</v>
      </c>
      <c r="T108" s="36">
        <v>65</v>
      </c>
      <c r="U108" s="36">
        <v>52.8</v>
      </c>
      <c r="V108" s="36">
        <v>52.9</v>
      </c>
      <c r="W108" s="36">
        <v>54.2</v>
      </c>
      <c r="X108" s="36">
        <v>59.1</v>
      </c>
      <c r="Y108" s="36">
        <v>58.8</v>
      </c>
    </row>
    <row r="109" spans="1:25">
      <c r="A109" s="28">
        <v>341</v>
      </c>
      <c r="B109" s="28" t="s">
        <v>193</v>
      </c>
      <c r="C109" s="28"/>
      <c r="D109" s="28"/>
      <c r="E109" s="28"/>
      <c r="F109" s="36" t="s">
        <v>194</v>
      </c>
      <c r="G109" s="36" t="s">
        <v>194</v>
      </c>
      <c r="H109" s="36" t="s">
        <v>194</v>
      </c>
      <c r="I109" s="36" t="s">
        <v>194</v>
      </c>
      <c r="J109" s="36" t="s">
        <v>194</v>
      </c>
      <c r="K109" s="36" t="s">
        <v>194</v>
      </c>
      <c r="L109" s="36" t="s">
        <v>194</v>
      </c>
      <c r="M109" s="36" t="s">
        <v>194</v>
      </c>
      <c r="N109" s="36" t="s">
        <v>194</v>
      </c>
      <c r="O109" s="36" t="s">
        <v>194</v>
      </c>
      <c r="P109" s="36" t="s">
        <v>194</v>
      </c>
      <c r="Q109" s="36" t="s">
        <v>194</v>
      </c>
      <c r="R109" s="36" t="s">
        <v>194</v>
      </c>
      <c r="S109" s="36" t="s">
        <v>194</v>
      </c>
      <c r="T109" s="36" t="s">
        <v>194</v>
      </c>
      <c r="U109" s="36">
        <v>68.7</v>
      </c>
      <c r="V109" s="36">
        <v>62.2</v>
      </c>
      <c r="W109" s="36">
        <v>69.8</v>
      </c>
      <c r="X109" s="36">
        <v>54.9</v>
      </c>
      <c r="Y109" s="36">
        <v>55.8</v>
      </c>
    </row>
    <row r="110" spans="1:25">
      <c r="A110" s="28">
        <v>712</v>
      </c>
      <c r="B110" s="28" t="s">
        <v>155</v>
      </c>
      <c r="C110" s="28"/>
      <c r="D110" s="28"/>
      <c r="E110" s="979">
        <v>61.4</v>
      </c>
      <c r="F110" s="36">
        <v>46.2</v>
      </c>
      <c r="G110" s="36">
        <v>31.4</v>
      </c>
      <c r="H110" s="36">
        <v>29.9</v>
      </c>
      <c r="I110" s="36">
        <v>26</v>
      </c>
      <c r="J110" s="36">
        <v>36.6</v>
      </c>
      <c r="K110" s="36">
        <v>31</v>
      </c>
      <c r="L110" s="36">
        <v>28.2</v>
      </c>
      <c r="M110" s="36">
        <v>29.3</v>
      </c>
      <c r="N110" s="36">
        <v>29.9</v>
      </c>
      <c r="O110" s="36">
        <v>38.1</v>
      </c>
      <c r="P110" s="36">
        <v>34.799999999999997</v>
      </c>
      <c r="Q110" s="36">
        <v>38.1</v>
      </c>
      <c r="R110" s="36">
        <v>36.1</v>
      </c>
      <c r="S110" s="36">
        <v>39.299999999999997</v>
      </c>
      <c r="T110" s="36">
        <v>38</v>
      </c>
      <c r="U110" s="36">
        <v>46.6</v>
      </c>
      <c r="V110" s="36">
        <v>61.2</v>
      </c>
      <c r="W110" s="36">
        <v>49.2</v>
      </c>
      <c r="X110" s="36">
        <v>37.6</v>
      </c>
      <c r="Y110" s="36">
        <v>47.4</v>
      </c>
    </row>
    <row r="111" spans="1:25">
      <c r="A111" s="28">
        <v>600</v>
      </c>
      <c r="B111" s="28" t="s">
        <v>128</v>
      </c>
      <c r="C111" s="913">
        <v>1793</v>
      </c>
      <c r="D111" s="913">
        <v>1942</v>
      </c>
      <c r="E111" s="913">
        <v>1904</v>
      </c>
      <c r="F111" s="36">
        <v>2000</v>
      </c>
      <c r="G111" s="36">
        <v>1984</v>
      </c>
      <c r="H111" s="36">
        <v>2093</v>
      </c>
      <c r="I111" s="36">
        <v>2149</v>
      </c>
      <c r="J111" s="36">
        <v>1979</v>
      </c>
      <c r="K111" s="36">
        <v>1974</v>
      </c>
      <c r="L111" s="36">
        <v>2067</v>
      </c>
      <c r="M111" s="36">
        <v>2092</v>
      </c>
      <c r="N111" s="36">
        <v>1732</v>
      </c>
      <c r="O111" s="36">
        <v>1341</v>
      </c>
      <c r="P111" s="36">
        <v>2426</v>
      </c>
      <c r="Q111" s="36">
        <v>2309</v>
      </c>
      <c r="R111" s="36">
        <v>2446</v>
      </c>
      <c r="S111" s="36">
        <v>2377</v>
      </c>
      <c r="T111" s="36">
        <v>2467</v>
      </c>
      <c r="U111" s="36">
        <v>2490</v>
      </c>
      <c r="V111" s="36">
        <v>2565</v>
      </c>
      <c r="W111" s="36">
        <v>2861</v>
      </c>
      <c r="X111" s="36">
        <v>3055</v>
      </c>
      <c r="Y111" s="36">
        <v>3256</v>
      </c>
    </row>
    <row r="112" spans="1:25">
      <c r="A112" s="28">
        <v>775</v>
      </c>
      <c r="B112" s="28" t="s">
        <v>164</v>
      </c>
      <c r="C112" s="28"/>
      <c r="D112" s="28"/>
      <c r="E112" s="28"/>
      <c r="F112" s="36" t="s">
        <v>194</v>
      </c>
      <c r="G112" s="36" t="s">
        <v>194</v>
      </c>
      <c r="H112" s="36" t="s">
        <v>194</v>
      </c>
      <c r="I112" s="36" t="s">
        <v>194</v>
      </c>
      <c r="J112" s="36" t="s">
        <v>194</v>
      </c>
      <c r="K112" s="36" t="s">
        <v>194</v>
      </c>
      <c r="L112" s="36" t="s">
        <v>194</v>
      </c>
      <c r="M112" s="36" t="s">
        <v>194</v>
      </c>
      <c r="N112" s="36" t="s">
        <v>194</v>
      </c>
      <c r="O112" s="36" t="s">
        <v>194</v>
      </c>
      <c r="P112" s="36" t="s">
        <v>194</v>
      </c>
      <c r="Q112" s="36" t="s">
        <v>194</v>
      </c>
      <c r="R112" s="36" t="s">
        <v>194</v>
      </c>
      <c r="S112" s="36" t="s">
        <v>194</v>
      </c>
      <c r="T112" s="36" t="s">
        <v>194</v>
      </c>
      <c r="U112" s="36" t="s">
        <v>194</v>
      </c>
      <c r="V112" s="36" t="s">
        <v>194</v>
      </c>
      <c r="W112" s="36" t="s">
        <v>194</v>
      </c>
      <c r="X112" s="36" t="s">
        <v>194</v>
      </c>
      <c r="Y112" s="36" t="s">
        <v>194</v>
      </c>
    </row>
    <row r="113" spans="1:25">
      <c r="A113" s="28">
        <v>541</v>
      </c>
      <c r="B113" s="28" t="s">
        <v>115</v>
      </c>
      <c r="C113" s="934">
        <v>81.3</v>
      </c>
      <c r="D113" s="934">
        <v>102</v>
      </c>
      <c r="E113" s="934">
        <v>92.6</v>
      </c>
      <c r="F113" s="36">
        <v>91.2</v>
      </c>
      <c r="G113" s="36">
        <v>91.3</v>
      </c>
      <c r="H113" s="36">
        <v>98.5</v>
      </c>
      <c r="I113" s="36">
        <v>115</v>
      </c>
      <c r="J113" s="36">
        <v>51.3</v>
      </c>
      <c r="K113" s="36">
        <v>46.6</v>
      </c>
      <c r="L113" s="36">
        <v>51.7</v>
      </c>
      <c r="M113" s="36">
        <v>61.4</v>
      </c>
      <c r="N113" s="36">
        <v>73.7</v>
      </c>
      <c r="O113" s="36">
        <v>76.400000000000006</v>
      </c>
      <c r="P113" s="36">
        <v>87</v>
      </c>
      <c r="Q113" s="36">
        <v>90.1</v>
      </c>
      <c r="R113" s="36">
        <v>89.1</v>
      </c>
      <c r="S113" s="36">
        <v>97.6</v>
      </c>
      <c r="T113" s="36">
        <v>74.599999999999994</v>
      </c>
      <c r="U113" s="36">
        <v>66.900000000000006</v>
      </c>
      <c r="V113" s="36">
        <v>75.2</v>
      </c>
      <c r="W113" s="36">
        <v>78.2</v>
      </c>
      <c r="X113" s="36">
        <v>86.3</v>
      </c>
      <c r="Y113" s="36" t="s">
        <v>194</v>
      </c>
    </row>
    <row r="114" spans="1:25">
      <c r="A114" s="28">
        <v>565</v>
      </c>
      <c r="B114" s="28" t="s">
        <v>120</v>
      </c>
      <c r="C114" s="28"/>
      <c r="D114" s="28"/>
      <c r="E114" s="935">
        <v>292</v>
      </c>
      <c r="F114" s="36">
        <v>203</v>
      </c>
      <c r="G114" s="36">
        <v>153</v>
      </c>
      <c r="H114" s="36">
        <v>91.2</v>
      </c>
      <c r="I114" s="36">
        <v>72.599999999999994</v>
      </c>
      <c r="J114" s="36">
        <v>80.8</v>
      </c>
      <c r="K114" s="36">
        <v>86.4</v>
      </c>
      <c r="L114" s="36">
        <v>107</v>
      </c>
      <c r="M114" s="36">
        <v>114</v>
      </c>
      <c r="N114" s="36">
        <v>156</v>
      </c>
      <c r="O114" s="36">
        <v>141</v>
      </c>
      <c r="P114" s="36">
        <v>168</v>
      </c>
      <c r="Q114" s="36">
        <v>168</v>
      </c>
      <c r="R114" s="36">
        <v>166</v>
      </c>
      <c r="S114" s="36">
        <v>175</v>
      </c>
      <c r="T114" s="36">
        <v>194</v>
      </c>
      <c r="U114" s="36">
        <v>204</v>
      </c>
      <c r="V114" s="36">
        <v>228</v>
      </c>
      <c r="W114" s="36">
        <v>282</v>
      </c>
      <c r="X114" s="36">
        <v>300</v>
      </c>
      <c r="Y114" s="36">
        <v>329</v>
      </c>
    </row>
    <row r="115" spans="1:25">
      <c r="A115" s="28">
        <v>790</v>
      </c>
      <c r="B115" s="28" t="s">
        <v>167</v>
      </c>
      <c r="C115" s="987">
        <v>51.9</v>
      </c>
      <c r="D115" s="987">
        <v>56.5</v>
      </c>
      <c r="E115" s="987">
        <v>58.9</v>
      </c>
      <c r="F115" s="36">
        <v>60.4</v>
      </c>
      <c r="G115" s="36">
        <v>62.7</v>
      </c>
      <c r="H115" s="36">
        <v>65.400000000000006</v>
      </c>
      <c r="I115" s="36">
        <v>65</v>
      </c>
      <c r="J115" s="36">
        <v>64.3</v>
      </c>
      <c r="K115" s="36">
        <v>63.9</v>
      </c>
      <c r="L115" s="36">
        <v>67.7</v>
      </c>
      <c r="M115" s="36">
        <v>68.7</v>
      </c>
      <c r="N115" s="36">
        <v>74.3</v>
      </c>
      <c r="O115" s="36">
        <v>81.7</v>
      </c>
      <c r="P115" s="36">
        <v>106</v>
      </c>
      <c r="Q115" s="36">
        <v>141</v>
      </c>
      <c r="R115" s="36">
        <v>157</v>
      </c>
      <c r="S115" s="36">
        <v>187</v>
      </c>
      <c r="T115" s="36">
        <v>207</v>
      </c>
      <c r="U115" s="36">
        <v>194</v>
      </c>
      <c r="V115" s="36">
        <v>180</v>
      </c>
      <c r="W115" s="36">
        <v>188</v>
      </c>
      <c r="X115" s="36">
        <v>210</v>
      </c>
      <c r="Y115" s="36">
        <v>207</v>
      </c>
    </row>
    <row r="116" spans="1:25">
      <c r="A116" s="28">
        <v>920</v>
      </c>
      <c r="B116" s="28" t="s">
        <v>179</v>
      </c>
      <c r="C116" s="992">
        <v>1506</v>
      </c>
      <c r="D116" s="992">
        <v>1343</v>
      </c>
      <c r="E116" s="992">
        <v>1251</v>
      </c>
      <c r="F116" s="36">
        <v>1199</v>
      </c>
      <c r="G116" s="36">
        <v>1122</v>
      </c>
      <c r="H116" s="36">
        <v>1095</v>
      </c>
      <c r="I116" s="36">
        <v>1101</v>
      </c>
      <c r="J116" s="36">
        <v>1121</v>
      </c>
      <c r="K116" s="36">
        <v>1130</v>
      </c>
      <c r="L116" s="36">
        <v>1107</v>
      </c>
      <c r="M116" s="36">
        <v>1108</v>
      </c>
      <c r="N116" s="36">
        <v>1123</v>
      </c>
      <c r="O116" s="36">
        <v>1128</v>
      </c>
      <c r="P116" s="36">
        <v>1104</v>
      </c>
      <c r="Q116" s="36">
        <v>1062</v>
      </c>
      <c r="R116" s="36">
        <v>1086</v>
      </c>
      <c r="S116" s="36">
        <v>1102</v>
      </c>
      <c r="T116" s="36">
        <v>1114</v>
      </c>
      <c r="U116" s="36">
        <v>1172</v>
      </c>
      <c r="V116" s="36">
        <v>1227</v>
      </c>
      <c r="W116" s="36">
        <v>1263</v>
      </c>
      <c r="X116" s="36">
        <v>1339</v>
      </c>
      <c r="Y116" s="36">
        <v>1358</v>
      </c>
    </row>
    <row r="117" spans="1:25">
      <c r="A117" s="28">
        <v>93</v>
      </c>
      <c r="B117" s="28" t="s">
        <v>20</v>
      </c>
      <c r="C117" s="28"/>
      <c r="D117" s="28"/>
      <c r="E117" s="958">
        <v>93.1</v>
      </c>
      <c r="F117" s="36">
        <v>77.2</v>
      </c>
      <c r="G117" s="36">
        <v>51.7</v>
      </c>
      <c r="H117" s="36">
        <v>43.6</v>
      </c>
      <c r="I117" s="36">
        <v>44.3</v>
      </c>
      <c r="J117" s="36">
        <v>44.3</v>
      </c>
      <c r="K117" s="36">
        <v>39.9</v>
      </c>
      <c r="L117" s="36">
        <v>39.299999999999997</v>
      </c>
      <c r="M117" s="36">
        <v>33.799999999999997</v>
      </c>
      <c r="N117" s="36">
        <v>34.700000000000003</v>
      </c>
      <c r="O117" s="36">
        <v>39.9</v>
      </c>
      <c r="P117" s="36">
        <v>36.299999999999997</v>
      </c>
      <c r="Q117" s="36">
        <v>46.6</v>
      </c>
      <c r="R117" s="36">
        <v>48.3</v>
      </c>
      <c r="S117" s="36">
        <v>43</v>
      </c>
      <c r="T117" s="36">
        <v>42.5</v>
      </c>
      <c r="U117" s="36">
        <v>44.9</v>
      </c>
      <c r="V117" s="36">
        <v>44.4</v>
      </c>
      <c r="W117" s="36">
        <v>41.2</v>
      </c>
      <c r="X117" s="36">
        <v>41.8</v>
      </c>
      <c r="Y117" s="36">
        <v>44.1</v>
      </c>
    </row>
    <row r="118" spans="1:25">
      <c r="A118" s="28">
        <v>475</v>
      </c>
      <c r="B118" s="28" t="s">
        <v>99</v>
      </c>
      <c r="C118" s="936">
        <v>482</v>
      </c>
      <c r="D118" s="936">
        <v>327</v>
      </c>
      <c r="E118" s="936">
        <v>540</v>
      </c>
      <c r="F118" s="36">
        <v>518</v>
      </c>
      <c r="G118" s="36">
        <v>446</v>
      </c>
      <c r="H118" s="36">
        <v>602</v>
      </c>
      <c r="I118" s="36">
        <v>423</v>
      </c>
      <c r="J118" s="36">
        <v>487</v>
      </c>
      <c r="K118" s="36">
        <v>413</v>
      </c>
      <c r="L118" s="36">
        <v>444</v>
      </c>
      <c r="M118" s="36">
        <v>567</v>
      </c>
      <c r="N118" s="36">
        <v>960</v>
      </c>
      <c r="O118" s="36">
        <v>741</v>
      </c>
      <c r="P118" s="36">
        <v>1056</v>
      </c>
      <c r="Q118" s="36">
        <v>1594</v>
      </c>
      <c r="R118" s="36">
        <v>981</v>
      </c>
      <c r="S118" s="36">
        <v>956</v>
      </c>
      <c r="T118" s="36">
        <v>844</v>
      </c>
      <c r="U118" s="36">
        <v>879</v>
      </c>
      <c r="V118" s="36">
        <v>1021</v>
      </c>
      <c r="W118" s="36">
        <v>1435</v>
      </c>
      <c r="X118" s="36">
        <v>1504</v>
      </c>
      <c r="Y118" s="36">
        <v>1724</v>
      </c>
    </row>
    <row r="119" spans="1:25">
      <c r="A119" s="28">
        <v>436</v>
      </c>
      <c r="B119" s="28" t="s">
        <v>90</v>
      </c>
      <c r="C119" s="28"/>
      <c r="D119" s="28"/>
      <c r="E119" s="28"/>
      <c r="F119" s="36" t="s">
        <v>194</v>
      </c>
      <c r="G119" s="36" t="s">
        <v>194</v>
      </c>
      <c r="H119" s="36" t="s">
        <v>194</v>
      </c>
      <c r="I119" s="36">
        <v>34.1</v>
      </c>
      <c r="J119" s="36">
        <v>29.3</v>
      </c>
      <c r="K119" s="36">
        <v>26.9</v>
      </c>
      <c r="L119" s="36">
        <v>29.7</v>
      </c>
      <c r="M119" s="36">
        <v>36.5</v>
      </c>
      <c r="N119" s="36">
        <v>41.7</v>
      </c>
      <c r="O119" s="36">
        <v>39.9</v>
      </c>
      <c r="P119" s="36">
        <v>48.9</v>
      </c>
      <c r="Q119" s="36">
        <v>37.700000000000003</v>
      </c>
      <c r="R119" s="36">
        <v>38</v>
      </c>
      <c r="S119" s="36">
        <v>44.3</v>
      </c>
      <c r="T119" s="36">
        <v>42.6</v>
      </c>
      <c r="U119" s="36" t="s">
        <v>194</v>
      </c>
      <c r="V119" s="36" t="s">
        <v>194</v>
      </c>
      <c r="W119" s="36">
        <v>53.1</v>
      </c>
      <c r="X119" s="36" t="s">
        <v>194</v>
      </c>
      <c r="Y119" s="36">
        <v>49.2</v>
      </c>
    </row>
    <row r="120" spans="1:25">
      <c r="A120" s="28">
        <v>385</v>
      </c>
      <c r="B120" s="28" t="s">
        <v>78</v>
      </c>
      <c r="C120" s="1010">
        <v>4904</v>
      </c>
      <c r="D120" s="1010">
        <v>5035</v>
      </c>
      <c r="E120" s="1010">
        <v>5075</v>
      </c>
      <c r="F120" s="36">
        <v>4922</v>
      </c>
      <c r="G120" s="36">
        <v>5334</v>
      </c>
      <c r="H120" s="36">
        <v>4970</v>
      </c>
      <c r="I120" s="36">
        <v>5226</v>
      </c>
      <c r="J120" s="36">
        <v>4720</v>
      </c>
      <c r="K120" s="36">
        <v>4785</v>
      </c>
      <c r="L120" s="36">
        <v>4705</v>
      </c>
      <c r="M120" s="36">
        <v>5016</v>
      </c>
      <c r="N120" s="36">
        <v>5043</v>
      </c>
      <c r="O120" s="36">
        <v>4877</v>
      </c>
      <c r="P120" s="36">
        <v>4908</v>
      </c>
      <c r="Q120" s="36">
        <v>5897</v>
      </c>
      <c r="R120" s="36">
        <v>5670</v>
      </c>
      <c r="S120" s="36">
        <v>5813</v>
      </c>
      <c r="T120" s="36">
        <v>5469</v>
      </c>
      <c r="U120" s="36">
        <v>5459</v>
      </c>
      <c r="V120" s="36">
        <v>5807</v>
      </c>
      <c r="W120" s="36">
        <v>5838</v>
      </c>
      <c r="X120" s="36">
        <v>6196</v>
      </c>
      <c r="Y120" s="36">
        <v>6322</v>
      </c>
    </row>
    <row r="121" spans="1:25">
      <c r="A121" s="28">
        <v>210</v>
      </c>
      <c r="B121" s="28" t="s">
        <v>37</v>
      </c>
      <c r="C121" s="1009">
        <v>13306</v>
      </c>
      <c r="D121" s="1009">
        <v>13433</v>
      </c>
      <c r="E121" s="1009">
        <v>13054</v>
      </c>
      <c r="F121" s="36">
        <v>12691</v>
      </c>
      <c r="G121" s="36">
        <v>12618</v>
      </c>
      <c r="H121" s="36">
        <v>11596</v>
      </c>
      <c r="I121" s="36">
        <v>11183</v>
      </c>
      <c r="J121" s="36">
        <v>10865</v>
      </c>
      <c r="K121" s="36">
        <v>10927</v>
      </c>
      <c r="L121" s="36">
        <v>10813</v>
      </c>
      <c r="M121" s="36">
        <v>10774</v>
      </c>
      <c r="N121" s="36">
        <v>11299</v>
      </c>
      <c r="O121" s="36">
        <v>10854</v>
      </c>
      <c r="P121" s="36">
        <v>11137</v>
      </c>
      <c r="Q121" s="36">
        <v>11125</v>
      </c>
      <c r="R121" s="36">
        <v>11283</v>
      </c>
      <c r="S121" s="36">
        <v>11370</v>
      </c>
      <c r="T121" s="36">
        <v>11388</v>
      </c>
      <c r="U121" s="36">
        <v>11922</v>
      </c>
      <c r="V121" s="36">
        <v>12082</v>
      </c>
      <c r="W121" s="36">
        <v>11873</v>
      </c>
      <c r="X121" s="36">
        <v>12129</v>
      </c>
      <c r="Y121" s="36">
        <v>11604</v>
      </c>
    </row>
    <row r="122" spans="1:25">
      <c r="A122" s="28">
        <v>698</v>
      </c>
      <c r="B122" s="28" t="s">
        <v>147</v>
      </c>
      <c r="C122" s="1028">
        <v>2323</v>
      </c>
      <c r="D122" s="1028">
        <v>2335</v>
      </c>
      <c r="E122" s="1028">
        <v>2620</v>
      </c>
      <c r="F122" s="36">
        <v>2171</v>
      </c>
      <c r="G122" s="36">
        <v>2600</v>
      </c>
      <c r="H122" s="36">
        <v>2440</v>
      </c>
      <c r="I122" s="36">
        <v>2593</v>
      </c>
      <c r="J122" s="36">
        <v>2612</v>
      </c>
      <c r="K122" s="36">
        <v>2467</v>
      </c>
      <c r="L122" s="36">
        <v>2553</v>
      </c>
      <c r="M122" s="36">
        <v>2261</v>
      </c>
      <c r="N122" s="36">
        <v>2288</v>
      </c>
      <c r="O122" s="36">
        <v>2724</v>
      </c>
      <c r="P122" s="36">
        <v>3169</v>
      </c>
      <c r="Q122" s="36">
        <v>3263</v>
      </c>
      <c r="R122" s="36">
        <v>3433</v>
      </c>
      <c r="S122" s="36">
        <v>3860</v>
      </c>
      <c r="T122" s="36">
        <v>4652</v>
      </c>
      <c r="U122" s="36">
        <v>4975</v>
      </c>
      <c r="V122" s="36">
        <v>5040</v>
      </c>
      <c r="W122" s="36">
        <v>4799</v>
      </c>
      <c r="X122" s="36">
        <v>4489</v>
      </c>
      <c r="Y122" s="36">
        <v>4047</v>
      </c>
    </row>
    <row r="123" spans="1:25">
      <c r="A123" s="28">
        <v>770</v>
      </c>
      <c r="B123" s="28" t="s">
        <v>162</v>
      </c>
      <c r="C123" s="988">
        <v>3348</v>
      </c>
      <c r="D123" s="988">
        <v>3346</v>
      </c>
      <c r="E123" s="988">
        <v>3531</v>
      </c>
      <c r="F123" s="36">
        <v>3780</v>
      </c>
      <c r="G123" s="36">
        <v>4014</v>
      </c>
      <c r="H123" s="36">
        <v>4008</v>
      </c>
      <c r="I123" s="36">
        <v>3906</v>
      </c>
      <c r="J123" s="36">
        <v>3971</v>
      </c>
      <c r="K123" s="36">
        <v>3966</v>
      </c>
      <c r="L123" s="36">
        <v>3798</v>
      </c>
      <c r="M123" s="36">
        <v>3793</v>
      </c>
      <c r="N123" s="36">
        <v>3828</v>
      </c>
      <c r="O123" s="36">
        <v>3839</v>
      </c>
      <c r="P123" s="36">
        <v>4108</v>
      </c>
      <c r="Q123" s="36">
        <v>4414</v>
      </c>
      <c r="R123" s="36">
        <v>4714</v>
      </c>
      <c r="S123" s="36">
        <v>4911</v>
      </c>
      <c r="T123" s="36">
        <v>5101</v>
      </c>
      <c r="U123" s="36">
        <v>5160</v>
      </c>
      <c r="V123" s="36">
        <v>5182</v>
      </c>
      <c r="W123" s="36">
        <v>4888</v>
      </c>
      <c r="X123" s="36">
        <v>5039</v>
      </c>
      <c r="Y123" s="36">
        <v>5160</v>
      </c>
    </row>
    <row r="124" spans="1:25">
      <c r="A124" s="28">
        <v>95</v>
      </c>
      <c r="B124" s="28" t="s">
        <v>22</v>
      </c>
      <c r="C124" s="959">
        <v>150</v>
      </c>
      <c r="D124" s="959">
        <v>149</v>
      </c>
      <c r="E124" s="959">
        <v>106</v>
      </c>
      <c r="F124" s="36">
        <v>112</v>
      </c>
      <c r="G124" s="36">
        <v>111</v>
      </c>
      <c r="H124" s="36">
        <v>133</v>
      </c>
      <c r="I124" s="36">
        <v>139</v>
      </c>
      <c r="J124" s="36">
        <v>132</v>
      </c>
      <c r="K124" s="36">
        <v>136</v>
      </c>
      <c r="L124" s="36">
        <v>157</v>
      </c>
      <c r="M124" s="36">
        <v>138</v>
      </c>
      <c r="N124" s="36">
        <v>146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</row>
    <row r="125" spans="1:25">
      <c r="A125" s="28">
        <v>150</v>
      </c>
      <c r="B125" s="28" t="s">
        <v>31</v>
      </c>
      <c r="C125" s="28"/>
      <c r="D125" s="969">
        <v>109</v>
      </c>
      <c r="E125" s="969">
        <v>110</v>
      </c>
      <c r="F125" s="36">
        <v>151</v>
      </c>
      <c r="G125" s="36">
        <v>148</v>
      </c>
      <c r="H125" s="36">
        <v>111</v>
      </c>
      <c r="I125" s="36">
        <v>111</v>
      </c>
      <c r="J125" s="36">
        <v>127</v>
      </c>
      <c r="K125" s="36">
        <v>115</v>
      </c>
      <c r="L125" s="36">
        <v>139</v>
      </c>
      <c r="M125" s="36">
        <v>130</v>
      </c>
      <c r="N125" s="36">
        <v>116</v>
      </c>
      <c r="O125" s="36">
        <v>113</v>
      </c>
      <c r="P125" s="36">
        <v>102</v>
      </c>
      <c r="Q125" s="36">
        <v>98.9</v>
      </c>
      <c r="R125" s="36">
        <v>88.4</v>
      </c>
      <c r="S125" s="36">
        <v>105</v>
      </c>
      <c r="T125" s="36">
        <v>93.6</v>
      </c>
      <c r="U125" s="36">
        <v>106</v>
      </c>
      <c r="V125" s="36">
        <v>108</v>
      </c>
      <c r="W125" s="36">
        <v>119</v>
      </c>
      <c r="X125" s="36">
        <v>126</v>
      </c>
      <c r="Y125" s="36">
        <v>146</v>
      </c>
    </row>
    <row r="126" spans="1:25">
      <c r="A126" s="28">
        <v>135</v>
      </c>
      <c r="B126" s="28" t="s">
        <v>28</v>
      </c>
      <c r="C126" s="28"/>
      <c r="D126" s="970">
        <v>171</v>
      </c>
      <c r="E126" s="970">
        <v>46.8</v>
      </c>
      <c r="F126" s="36">
        <v>630</v>
      </c>
      <c r="G126" s="36">
        <v>939</v>
      </c>
      <c r="H126" s="36">
        <v>1067</v>
      </c>
      <c r="I126" s="36">
        <v>1105</v>
      </c>
      <c r="J126" s="36">
        <v>1299</v>
      </c>
      <c r="K126" s="36">
        <v>1253</v>
      </c>
      <c r="L126" s="36">
        <v>1058</v>
      </c>
      <c r="M126" s="36">
        <v>1185</v>
      </c>
      <c r="N126" s="36">
        <v>1188</v>
      </c>
      <c r="O126" s="36">
        <v>1503</v>
      </c>
      <c r="P126" s="36">
        <v>1291</v>
      </c>
      <c r="Q126" s="36">
        <v>1206</v>
      </c>
      <c r="R126" s="36">
        <v>1222</v>
      </c>
      <c r="S126" s="36">
        <v>1296</v>
      </c>
      <c r="T126" s="36">
        <v>1434</v>
      </c>
      <c r="U126" s="36">
        <v>1476</v>
      </c>
      <c r="V126" s="36">
        <v>1416</v>
      </c>
      <c r="W126" s="36">
        <v>1387</v>
      </c>
      <c r="X126" s="36">
        <v>1712</v>
      </c>
      <c r="Y126" s="36">
        <v>1992</v>
      </c>
    </row>
    <row r="127" spans="1:25">
      <c r="A127" s="28">
        <v>840</v>
      </c>
      <c r="B127" s="28" t="s">
        <v>175</v>
      </c>
      <c r="C127" s="980">
        <v>1122</v>
      </c>
      <c r="D127" s="980">
        <v>1072</v>
      </c>
      <c r="E127" s="980">
        <v>1060</v>
      </c>
      <c r="F127" s="36">
        <v>971</v>
      </c>
      <c r="G127" s="36">
        <v>980</v>
      </c>
      <c r="H127" s="36">
        <v>1060</v>
      </c>
      <c r="I127" s="36">
        <v>1131</v>
      </c>
      <c r="J127" s="36">
        <v>1260</v>
      </c>
      <c r="K127" s="36">
        <v>1321</v>
      </c>
      <c r="L127" s="36">
        <v>1180</v>
      </c>
      <c r="M127" s="36">
        <v>1165</v>
      </c>
      <c r="N127" s="36">
        <v>1150</v>
      </c>
      <c r="O127" s="36">
        <v>1215</v>
      </c>
      <c r="P127" s="36">
        <v>1130</v>
      </c>
      <c r="Q127" s="36">
        <v>1187</v>
      </c>
      <c r="R127" s="36">
        <v>1310</v>
      </c>
      <c r="S127" s="36">
        <v>1220</v>
      </c>
      <c r="T127" s="36">
        <v>1231</v>
      </c>
      <c r="U127" s="36">
        <v>1254</v>
      </c>
      <c r="V127" s="36">
        <v>1472</v>
      </c>
      <c r="W127" s="36">
        <v>1342</v>
      </c>
      <c r="X127" s="36">
        <v>1321</v>
      </c>
      <c r="Y127" s="36">
        <v>1486</v>
      </c>
    </row>
    <row r="128" spans="1:25">
      <c r="A128" s="28">
        <v>910</v>
      </c>
      <c r="B128" s="28" t="s">
        <v>178</v>
      </c>
      <c r="C128" s="993">
        <v>71.8</v>
      </c>
      <c r="D128" s="993">
        <v>78.099999999999994</v>
      </c>
      <c r="E128" s="993">
        <v>105</v>
      </c>
      <c r="F128" s="36">
        <v>75</v>
      </c>
      <c r="G128" s="36">
        <v>81.099999999999994</v>
      </c>
      <c r="H128" s="36">
        <v>74.400000000000006</v>
      </c>
      <c r="I128" s="36">
        <v>72.2</v>
      </c>
      <c r="J128" s="36">
        <v>68</v>
      </c>
      <c r="K128" s="36">
        <v>69</v>
      </c>
      <c r="L128" s="36">
        <v>90.4</v>
      </c>
      <c r="M128" s="36">
        <v>73.900000000000006</v>
      </c>
      <c r="N128" s="36">
        <v>59.8</v>
      </c>
      <c r="O128" s="36">
        <v>55</v>
      </c>
      <c r="P128" s="36">
        <v>50.6</v>
      </c>
      <c r="Q128" s="36">
        <v>35.1</v>
      </c>
      <c r="R128" s="36">
        <v>31.8</v>
      </c>
      <c r="S128" s="36">
        <v>35.6</v>
      </c>
      <c r="T128" s="36">
        <v>41.8</v>
      </c>
      <c r="U128" s="36">
        <v>40.6</v>
      </c>
      <c r="V128" s="36">
        <v>48.2</v>
      </c>
      <c r="W128" s="36">
        <v>38.9</v>
      </c>
      <c r="X128" s="36">
        <v>39.4</v>
      </c>
      <c r="Y128" s="36">
        <v>39.1</v>
      </c>
    </row>
    <row r="129" spans="1:25">
      <c r="A129" s="28">
        <v>290</v>
      </c>
      <c r="B129" s="28" t="s">
        <v>48</v>
      </c>
      <c r="C129" s="1011">
        <v>7510</v>
      </c>
      <c r="D129" s="1011">
        <v>6333</v>
      </c>
      <c r="E129" s="1011">
        <v>6578</v>
      </c>
      <c r="F129" s="36">
        <v>4632</v>
      </c>
      <c r="G129" s="36">
        <v>4488</v>
      </c>
      <c r="H129" s="36">
        <v>4918</v>
      </c>
      <c r="I129" s="36">
        <v>4910</v>
      </c>
      <c r="J129" s="36">
        <v>4941</v>
      </c>
      <c r="K129" s="36">
        <v>5199</v>
      </c>
      <c r="L129" s="36">
        <v>5688</v>
      </c>
      <c r="M129" s="36">
        <v>5901</v>
      </c>
      <c r="N129" s="36">
        <v>5803</v>
      </c>
      <c r="O129" s="36">
        <v>5632</v>
      </c>
      <c r="P129" s="36">
        <v>5804</v>
      </c>
      <c r="Q129" s="36">
        <v>5904</v>
      </c>
      <c r="R129" s="36">
        <v>6137</v>
      </c>
      <c r="S129" s="36">
        <v>6416</v>
      </c>
      <c r="T129" s="36">
        <v>6859</v>
      </c>
      <c r="U129" s="36">
        <v>7303</v>
      </c>
      <c r="V129" s="36">
        <v>8256</v>
      </c>
      <c r="W129" s="36">
        <v>7385</v>
      </c>
      <c r="X129" s="36">
        <v>7917</v>
      </c>
      <c r="Y129" s="36">
        <v>8380</v>
      </c>
    </row>
    <row r="130" spans="1:25">
      <c r="A130" s="28">
        <v>235</v>
      </c>
      <c r="B130" s="28" t="s">
        <v>46</v>
      </c>
      <c r="C130" s="1012">
        <v>3461</v>
      </c>
      <c r="D130" s="1012">
        <v>3633</v>
      </c>
      <c r="E130" s="1012">
        <v>3734</v>
      </c>
      <c r="F130" s="36">
        <v>3849</v>
      </c>
      <c r="G130" s="36">
        <v>3953</v>
      </c>
      <c r="H130" s="36">
        <v>3827</v>
      </c>
      <c r="I130" s="36">
        <v>3723</v>
      </c>
      <c r="J130" s="36">
        <v>3998</v>
      </c>
      <c r="K130" s="36">
        <v>3855</v>
      </c>
      <c r="L130" s="36">
        <v>3939</v>
      </c>
      <c r="M130" s="36">
        <v>3852</v>
      </c>
      <c r="N130" s="36">
        <v>4053</v>
      </c>
      <c r="O130" s="36">
        <v>4174</v>
      </c>
      <c r="P130" s="36">
        <v>4341</v>
      </c>
      <c r="Q130" s="36">
        <v>4463</v>
      </c>
      <c r="R130" s="36">
        <v>4306</v>
      </c>
      <c r="S130" s="36">
        <v>4574</v>
      </c>
      <c r="T130" s="36">
        <v>4848</v>
      </c>
      <c r="U130" s="36">
        <v>4710</v>
      </c>
      <c r="V130" s="36">
        <v>4508</v>
      </c>
      <c r="W130" s="36">
        <v>4525</v>
      </c>
      <c r="X130" s="36">
        <v>4810</v>
      </c>
      <c r="Y130" s="36">
        <v>5213</v>
      </c>
    </row>
    <row r="131" spans="1:25">
      <c r="A131" s="28">
        <v>731</v>
      </c>
      <c r="B131" s="28" t="s">
        <v>157</v>
      </c>
      <c r="C131" s="28"/>
      <c r="D131" s="28"/>
      <c r="E131" s="28"/>
      <c r="F131" s="36" t="s">
        <v>194</v>
      </c>
      <c r="G131" s="36" t="s">
        <v>194</v>
      </c>
      <c r="H131" s="36" t="s">
        <v>194</v>
      </c>
      <c r="I131" s="36" t="s">
        <v>194</v>
      </c>
      <c r="J131" s="36" t="s">
        <v>194</v>
      </c>
      <c r="K131" s="36" t="s">
        <v>194</v>
      </c>
      <c r="L131" s="36" t="s">
        <v>194</v>
      </c>
      <c r="M131" s="36" t="s">
        <v>194</v>
      </c>
      <c r="N131" s="36" t="s">
        <v>194</v>
      </c>
      <c r="O131" s="36" t="s">
        <v>194</v>
      </c>
      <c r="P131" s="36" t="s">
        <v>194</v>
      </c>
      <c r="Q131" s="36" t="s">
        <v>194</v>
      </c>
      <c r="R131" s="36" t="s">
        <v>194</v>
      </c>
      <c r="S131" s="36" t="s">
        <v>194</v>
      </c>
      <c r="T131" s="36" t="s">
        <v>194</v>
      </c>
      <c r="U131" s="36" t="s">
        <v>194</v>
      </c>
      <c r="V131" s="36" t="s">
        <v>194</v>
      </c>
      <c r="W131" s="36" t="s">
        <v>194</v>
      </c>
      <c r="X131" s="36" t="s">
        <v>194</v>
      </c>
      <c r="Y131" s="36" t="s">
        <v>194</v>
      </c>
    </row>
    <row r="132" spans="1:25">
      <c r="A132" s="28">
        <v>694</v>
      </c>
      <c r="B132" s="28" t="s">
        <v>145</v>
      </c>
      <c r="C132" s="28"/>
      <c r="D132" s="28"/>
      <c r="E132" s="28"/>
      <c r="F132" s="36" t="s">
        <v>194</v>
      </c>
      <c r="G132" s="36" t="s">
        <v>194</v>
      </c>
      <c r="H132" s="36" t="s">
        <v>194</v>
      </c>
      <c r="I132" s="36" t="s">
        <v>194</v>
      </c>
      <c r="J132" s="36" t="s">
        <v>194</v>
      </c>
      <c r="K132" s="36" t="s">
        <v>194</v>
      </c>
      <c r="L132" s="36" t="s">
        <v>194</v>
      </c>
      <c r="M132" s="36" t="s">
        <v>194</v>
      </c>
      <c r="N132" s="36" t="s">
        <v>194</v>
      </c>
      <c r="O132" s="36" t="s">
        <v>194</v>
      </c>
      <c r="P132" s="36" t="s">
        <v>194</v>
      </c>
      <c r="Q132" s="36">
        <v>1511</v>
      </c>
      <c r="R132" s="36">
        <v>1524</v>
      </c>
      <c r="S132" s="36">
        <v>1404</v>
      </c>
      <c r="T132" s="36">
        <v>1492</v>
      </c>
      <c r="U132" s="36">
        <v>1577</v>
      </c>
      <c r="V132" s="36">
        <v>1922</v>
      </c>
      <c r="W132" s="36">
        <v>2413</v>
      </c>
      <c r="X132" s="36" t="s">
        <v>194</v>
      </c>
      <c r="Y132" s="36" t="s">
        <v>194</v>
      </c>
    </row>
    <row r="133" spans="1:25">
      <c r="A133" s="28">
        <v>732</v>
      </c>
      <c r="B133" s="28" t="s">
        <v>158</v>
      </c>
      <c r="C133" s="977">
        <v>11666</v>
      </c>
      <c r="D133" s="977">
        <v>12021</v>
      </c>
      <c r="E133" s="977">
        <v>12210</v>
      </c>
      <c r="F133" s="36">
        <v>12597</v>
      </c>
      <c r="G133" s="36">
        <v>13330</v>
      </c>
      <c r="H133" s="36">
        <v>13941</v>
      </c>
      <c r="I133" s="36">
        <v>14350</v>
      </c>
      <c r="J133" s="36">
        <v>15095</v>
      </c>
      <c r="K133" s="36">
        <v>15909</v>
      </c>
      <c r="L133" s="36">
        <v>16294</v>
      </c>
      <c r="M133" s="36">
        <v>15730</v>
      </c>
      <c r="N133" s="36">
        <v>15302</v>
      </c>
      <c r="O133" s="36">
        <v>16242</v>
      </c>
      <c r="P133" s="36">
        <v>16711</v>
      </c>
      <c r="Q133" s="36">
        <v>17171</v>
      </c>
      <c r="R133" s="36">
        <v>17755</v>
      </c>
      <c r="S133" s="36">
        <v>18535</v>
      </c>
      <c r="T133" s="36">
        <v>20047</v>
      </c>
      <c r="U133" s="36">
        <v>20778</v>
      </c>
      <c r="V133" s="36">
        <v>21717</v>
      </c>
      <c r="W133" s="36">
        <v>23138</v>
      </c>
      <c r="X133" s="36">
        <v>24372</v>
      </c>
      <c r="Y133" s="36">
        <v>24270</v>
      </c>
    </row>
    <row r="134" spans="1:25">
      <c r="A134" s="28">
        <v>360</v>
      </c>
      <c r="B134" s="28" t="s">
        <v>66</v>
      </c>
      <c r="C134" s="1013">
        <v>8809</v>
      </c>
      <c r="D134" s="1013">
        <v>9039</v>
      </c>
      <c r="E134" s="1013">
        <v>4102</v>
      </c>
      <c r="F134" s="36">
        <v>4193</v>
      </c>
      <c r="G134" s="36">
        <v>3300</v>
      </c>
      <c r="H134" s="36">
        <v>1991</v>
      </c>
      <c r="I134" s="36">
        <v>2372</v>
      </c>
      <c r="J134" s="36">
        <v>2309</v>
      </c>
      <c r="K134" s="36">
        <v>2244</v>
      </c>
      <c r="L134" s="36">
        <v>2516</v>
      </c>
      <c r="M134" s="36">
        <v>2285</v>
      </c>
      <c r="N134" s="36">
        <v>2062</v>
      </c>
      <c r="O134" s="36">
        <v>1963</v>
      </c>
      <c r="P134" s="36">
        <v>2059</v>
      </c>
      <c r="Q134" s="36">
        <v>2048</v>
      </c>
      <c r="R134" s="36">
        <v>2112</v>
      </c>
      <c r="S134" s="36">
        <v>2271</v>
      </c>
      <c r="T134" s="36">
        <v>2403</v>
      </c>
      <c r="U134" s="36">
        <v>2476</v>
      </c>
      <c r="V134" s="36">
        <v>2375</v>
      </c>
      <c r="W134" s="36">
        <v>2617</v>
      </c>
      <c r="X134" s="36">
        <v>2225</v>
      </c>
      <c r="Y134" s="36">
        <v>2164</v>
      </c>
    </row>
    <row r="135" spans="1:25">
      <c r="A135" s="28">
        <v>365</v>
      </c>
      <c r="B135" s="28" t="s">
        <v>67</v>
      </c>
      <c r="C135" s="1014">
        <v>296451</v>
      </c>
      <c r="D135" s="1014">
        <v>274882</v>
      </c>
      <c r="E135" s="1014">
        <v>232546</v>
      </c>
      <c r="F135" s="36" t="s">
        <v>194</v>
      </c>
      <c r="G135" s="36">
        <v>57716</v>
      </c>
      <c r="H135" s="36">
        <v>50987</v>
      </c>
      <c r="I135" s="36">
        <v>49690</v>
      </c>
      <c r="J135" s="36">
        <v>29427</v>
      </c>
      <c r="K135" s="36">
        <v>25987</v>
      </c>
      <c r="L135" s="36">
        <v>28834</v>
      </c>
      <c r="M135" s="36">
        <v>18400</v>
      </c>
      <c r="N135" s="36">
        <v>19061</v>
      </c>
      <c r="O135" s="36">
        <v>25977</v>
      </c>
      <c r="P135" s="36">
        <v>28833</v>
      </c>
      <c r="Q135" s="36">
        <v>32035</v>
      </c>
      <c r="R135" s="36">
        <v>34080</v>
      </c>
      <c r="S135" s="36">
        <v>35454</v>
      </c>
      <c r="T135" s="36">
        <v>38669</v>
      </c>
      <c r="U135" s="36">
        <v>42317</v>
      </c>
      <c r="V135" s="36">
        <v>45908</v>
      </c>
      <c r="W135" s="36">
        <v>50937</v>
      </c>
      <c r="X135" s="36">
        <v>53330</v>
      </c>
      <c r="Y135" s="36">
        <v>52586</v>
      </c>
    </row>
    <row r="136" spans="1:25">
      <c r="A136" s="28">
        <v>517</v>
      </c>
      <c r="B136" s="28" t="s">
        <v>109</v>
      </c>
      <c r="C136" s="937">
        <v>41.3</v>
      </c>
      <c r="D136" s="937">
        <v>48.7</v>
      </c>
      <c r="E136" s="937">
        <v>112</v>
      </c>
      <c r="F136" s="36">
        <v>154</v>
      </c>
      <c r="G136" s="36">
        <v>127</v>
      </c>
      <c r="H136" s="36">
        <v>123</v>
      </c>
      <c r="I136" s="36">
        <v>33.200000000000003</v>
      </c>
      <c r="J136" s="36">
        <v>70.8</v>
      </c>
      <c r="K136" s="36">
        <v>101</v>
      </c>
      <c r="L136" s="36">
        <v>92.6</v>
      </c>
      <c r="M136" s="36">
        <v>102</v>
      </c>
      <c r="N136" s="36">
        <v>104</v>
      </c>
      <c r="O136" s="36">
        <v>87.9</v>
      </c>
      <c r="P136" s="36">
        <v>90</v>
      </c>
      <c r="Q136" s="36">
        <v>84.8</v>
      </c>
      <c r="R136" s="36">
        <v>79.2</v>
      </c>
      <c r="S136" s="36">
        <v>69.099999999999994</v>
      </c>
      <c r="T136" s="36">
        <v>66.8</v>
      </c>
      <c r="U136" s="36">
        <v>73.599999999999994</v>
      </c>
      <c r="V136" s="36">
        <v>68.2</v>
      </c>
      <c r="W136" s="36">
        <v>71.900000000000006</v>
      </c>
      <c r="X136" s="36">
        <v>75.3</v>
      </c>
      <c r="Y136" s="36">
        <v>77.2</v>
      </c>
    </row>
    <row r="137" spans="1:25">
      <c r="A137" s="28">
        <v>560</v>
      </c>
      <c r="B137" s="28" t="s">
        <v>119</v>
      </c>
      <c r="C137" s="941">
        <v>5249</v>
      </c>
      <c r="D137" s="941">
        <v>5177</v>
      </c>
      <c r="E137" s="941">
        <v>5101</v>
      </c>
      <c r="F137" s="36">
        <v>4309</v>
      </c>
      <c r="G137" s="36">
        <v>3501</v>
      </c>
      <c r="H137" s="36">
        <v>3365</v>
      </c>
      <c r="I137" s="36">
        <v>3655</v>
      </c>
      <c r="J137" s="36">
        <v>3251</v>
      </c>
      <c r="K137" s="36">
        <v>3095</v>
      </c>
      <c r="L137" s="36">
        <v>2661</v>
      </c>
      <c r="M137" s="36">
        <v>2457</v>
      </c>
      <c r="N137" s="36">
        <v>2278</v>
      </c>
      <c r="O137" s="36">
        <v>2728</v>
      </c>
      <c r="P137" s="36">
        <v>3068</v>
      </c>
      <c r="Q137" s="36">
        <v>3300</v>
      </c>
      <c r="R137" s="36">
        <v>3451</v>
      </c>
      <c r="S137" s="36">
        <v>3482</v>
      </c>
      <c r="T137" s="36">
        <v>3791</v>
      </c>
      <c r="U137" s="36">
        <v>3782</v>
      </c>
      <c r="V137" s="36">
        <v>3713</v>
      </c>
      <c r="W137" s="36">
        <v>3647</v>
      </c>
      <c r="X137" s="36">
        <v>3813</v>
      </c>
      <c r="Y137" s="36">
        <v>3735</v>
      </c>
    </row>
    <row r="138" spans="1:25">
      <c r="A138" s="28">
        <v>92</v>
      </c>
      <c r="B138" s="28" t="s">
        <v>19</v>
      </c>
      <c r="C138" s="953">
        <v>227</v>
      </c>
      <c r="D138" s="953">
        <v>231</v>
      </c>
      <c r="E138" s="953">
        <v>267</v>
      </c>
      <c r="F138" s="36">
        <v>285</v>
      </c>
      <c r="G138" s="36">
        <v>256</v>
      </c>
      <c r="H138" s="36">
        <v>207</v>
      </c>
      <c r="I138" s="36">
        <v>174</v>
      </c>
      <c r="J138" s="36">
        <v>162</v>
      </c>
      <c r="K138" s="36">
        <v>147</v>
      </c>
      <c r="L138" s="36">
        <v>142</v>
      </c>
      <c r="M138" s="36">
        <v>137</v>
      </c>
      <c r="N138" s="36">
        <v>141</v>
      </c>
      <c r="O138" s="36">
        <v>155</v>
      </c>
      <c r="P138" s="36">
        <v>145</v>
      </c>
      <c r="Q138" s="36">
        <v>143</v>
      </c>
      <c r="R138" s="36">
        <v>136</v>
      </c>
      <c r="S138" s="36">
        <v>130</v>
      </c>
      <c r="T138" s="36">
        <v>128</v>
      </c>
      <c r="U138" s="36">
        <v>131</v>
      </c>
      <c r="V138" s="36">
        <v>131</v>
      </c>
      <c r="W138" s="36">
        <v>119</v>
      </c>
      <c r="X138" s="36">
        <v>138</v>
      </c>
      <c r="Y138" s="36">
        <v>133</v>
      </c>
    </row>
    <row r="139" spans="1:25">
      <c r="A139" s="28">
        <v>670</v>
      </c>
      <c r="B139" s="28" t="s">
        <v>141</v>
      </c>
      <c r="C139" s="1029">
        <v>18742</v>
      </c>
      <c r="D139" s="1029">
        <v>17710</v>
      </c>
      <c r="E139" s="1029">
        <v>22256</v>
      </c>
      <c r="F139" s="36">
        <v>21225</v>
      </c>
      <c r="G139" s="36">
        <v>19948</v>
      </c>
      <c r="H139" s="36">
        <v>21142</v>
      </c>
      <c r="I139" s="36">
        <v>18249</v>
      </c>
      <c r="J139" s="36">
        <v>16086</v>
      </c>
      <c r="K139" s="36">
        <v>16060</v>
      </c>
      <c r="L139" s="36">
        <v>21810</v>
      </c>
      <c r="M139" s="36">
        <v>25191</v>
      </c>
      <c r="N139" s="36">
        <v>22424</v>
      </c>
      <c r="O139" s="36">
        <v>24714</v>
      </c>
      <c r="P139" s="36">
        <v>26322</v>
      </c>
      <c r="Q139" s="36">
        <v>23109</v>
      </c>
      <c r="R139" s="36">
        <v>23279</v>
      </c>
      <c r="S139" s="36">
        <v>25879</v>
      </c>
      <c r="T139" s="36">
        <v>31183</v>
      </c>
      <c r="U139" s="36">
        <v>35522</v>
      </c>
      <c r="V139" s="36">
        <v>40919</v>
      </c>
      <c r="W139" s="36">
        <v>40159</v>
      </c>
      <c r="X139" s="36">
        <v>41273</v>
      </c>
      <c r="Y139" s="36">
        <v>42917</v>
      </c>
    </row>
    <row r="140" spans="1:25">
      <c r="A140" s="28">
        <v>433</v>
      </c>
      <c r="B140" s="28" t="s">
        <v>87</v>
      </c>
      <c r="C140" s="938">
        <v>115</v>
      </c>
      <c r="D140" s="938">
        <v>118</v>
      </c>
      <c r="E140" s="938">
        <v>121</v>
      </c>
      <c r="F140" s="36">
        <v>118</v>
      </c>
      <c r="G140" s="36">
        <v>114</v>
      </c>
      <c r="H140" s="36">
        <v>134</v>
      </c>
      <c r="I140" s="36">
        <v>110</v>
      </c>
      <c r="J140" s="36">
        <v>112</v>
      </c>
      <c r="K140" s="36">
        <v>110</v>
      </c>
      <c r="L140" s="36">
        <v>110</v>
      </c>
      <c r="M140" s="36">
        <v>116</v>
      </c>
      <c r="N140" s="36">
        <v>125</v>
      </c>
      <c r="O140" s="36">
        <v>115</v>
      </c>
      <c r="P140" s="36">
        <v>126</v>
      </c>
      <c r="Q140" s="36">
        <v>127</v>
      </c>
      <c r="R140" s="36">
        <v>138</v>
      </c>
      <c r="S140" s="36">
        <v>138</v>
      </c>
      <c r="T140" s="36">
        <v>157</v>
      </c>
      <c r="U140" s="36">
        <v>182</v>
      </c>
      <c r="V140" s="36">
        <v>205</v>
      </c>
      <c r="W140" s="36">
        <v>204</v>
      </c>
      <c r="X140" s="36">
        <v>208</v>
      </c>
      <c r="Y140" s="36">
        <v>207</v>
      </c>
    </row>
    <row r="141" spans="1:25">
      <c r="A141" s="28">
        <v>591</v>
      </c>
      <c r="B141" s="28" t="s">
        <v>127</v>
      </c>
      <c r="C141" s="939">
        <v>13.8</v>
      </c>
      <c r="D141" s="939">
        <v>15.3</v>
      </c>
      <c r="E141" s="939">
        <v>15.8</v>
      </c>
      <c r="F141" s="36">
        <v>17.2</v>
      </c>
      <c r="G141" s="36">
        <v>19.899999999999999</v>
      </c>
      <c r="H141" s="36">
        <v>12.6</v>
      </c>
      <c r="I141" s="36">
        <v>11.1</v>
      </c>
      <c r="J141" s="36">
        <v>10.199999999999999</v>
      </c>
      <c r="K141" s="36">
        <v>9.8000000000000007</v>
      </c>
      <c r="L141" s="36">
        <v>10.6</v>
      </c>
      <c r="M141" s="36">
        <v>10</v>
      </c>
      <c r="N141" s="36">
        <v>10.1</v>
      </c>
      <c r="O141" s="36">
        <v>9.4</v>
      </c>
      <c r="P141" s="36">
        <v>9.8000000000000007</v>
      </c>
      <c r="Q141" s="36">
        <v>9.6999999999999993</v>
      </c>
      <c r="R141" s="36">
        <v>9.6</v>
      </c>
      <c r="S141" s="36">
        <v>12.3</v>
      </c>
      <c r="T141" s="36">
        <v>11.3</v>
      </c>
      <c r="U141" s="36">
        <v>11.1</v>
      </c>
      <c r="V141" s="36">
        <v>13.5</v>
      </c>
      <c r="W141" s="36">
        <v>7.8</v>
      </c>
      <c r="X141" s="36">
        <v>7.5</v>
      </c>
      <c r="Y141" s="36">
        <v>6.6</v>
      </c>
    </row>
    <row r="142" spans="1:25">
      <c r="A142" s="28">
        <v>451</v>
      </c>
      <c r="B142" s="28" t="s">
        <v>95</v>
      </c>
      <c r="C142" s="940">
        <v>0.1</v>
      </c>
      <c r="D142" s="940">
        <v>0.3</v>
      </c>
      <c r="E142" s="940">
        <v>0.7</v>
      </c>
      <c r="F142" s="36">
        <v>2.4</v>
      </c>
      <c r="G142" s="36">
        <v>4.9000000000000004</v>
      </c>
      <c r="H142" s="36">
        <v>6.3</v>
      </c>
      <c r="I142" s="36">
        <v>7.1</v>
      </c>
      <c r="J142" s="36">
        <v>8.5</v>
      </c>
      <c r="K142" s="36">
        <v>7.6</v>
      </c>
      <c r="L142" s="36">
        <v>4.0999999999999996</v>
      </c>
      <c r="M142" s="36" t="s">
        <v>194</v>
      </c>
      <c r="N142" s="36" t="s">
        <v>194</v>
      </c>
      <c r="O142" s="36">
        <v>21</v>
      </c>
      <c r="P142" s="36">
        <v>25.4</v>
      </c>
      <c r="Q142" s="36">
        <v>24.4</v>
      </c>
      <c r="R142" s="36">
        <v>28.5</v>
      </c>
      <c r="S142" s="36">
        <v>26</v>
      </c>
      <c r="T142" s="36">
        <v>28.4</v>
      </c>
      <c r="U142" s="36">
        <v>34.6</v>
      </c>
      <c r="V142" s="36">
        <v>32.6</v>
      </c>
      <c r="W142" s="36">
        <v>42.9</v>
      </c>
      <c r="X142" s="36" t="s">
        <v>194</v>
      </c>
      <c r="Y142" s="36" t="s">
        <v>194</v>
      </c>
    </row>
    <row r="143" spans="1:25">
      <c r="A143" s="28">
        <v>830</v>
      </c>
      <c r="B143" s="28" t="s">
        <v>173</v>
      </c>
      <c r="C143" s="981">
        <v>2391</v>
      </c>
      <c r="D143" s="981">
        <v>2648</v>
      </c>
      <c r="E143" s="981">
        <v>3038</v>
      </c>
      <c r="F143" s="36">
        <v>3143</v>
      </c>
      <c r="G143" s="36">
        <v>3342</v>
      </c>
      <c r="H143" s="36">
        <v>3448</v>
      </c>
      <c r="I143" s="36">
        <v>3563</v>
      </c>
      <c r="J143" s="36">
        <v>4268</v>
      </c>
      <c r="K143" s="36">
        <v>4676</v>
      </c>
      <c r="L143" s="36">
        <v>5247</v>
      </c>
      <c r="M143" s="36">
        <v>5942</v>
      </c>
      <c r="N143" s="36">
        <v>6053</v>
      </c>
      <c r="O143" s="36">
        <v>5855</v>
      </c>
      <c r="P143" s="36">
        <v>5995</v>
      </c>
      <c r="Q143" s="36">
        <v>6320</v>
      </c>
      <c r="R143" s="36">
        <v>6382</v>
      </c>
      <c r="S143" s="36">
        <v>6503</v>
      </c>
      <c r="T143" s="36">
        <v>6908</v>
      </c>
      <c r="U143" s="36">
        <v>6966</v>
      </c>
      <c r="V143" s="36">
        <v>7236</v>
      </c>
      <c r="W143" s="36">
        <v>7293</v>
      </c>
      <c r="X143" s="36">
        <v>7743</v>
      </c>
      <c r="Y143" s="36">
        <v>7651</v>
      </c>
    </row>
    <row r="144" spans="1:25">
      <c r="A144" s="28">
        <v>317</v>
      </c>
      <c r="B144" s="28" t="s">
        <v>52</v>
      </c>
      <c r="C144" s="28"/>
      <c r="D144" s="28"/>
      <c r="E144" s="28"/>
      <c r="F144" s="36" t="s">
        <v>194</v>
      </c>
      <c r="G144" s="36" t="s">
        <v>194</v>
      </c>
      <c r="H144" s="36">
        <v>1063</v>
      </c>
      <c r="I144" s="36">
        <v>1097</v>
      </c>
      <c r="J144" s="36">
        <v>1942</v>
      </c>
      <c r="K144" s="36">
        <v>1930</v>
      </c>
      <c r="L144" s="36">
        <v>1553</v>
      </c>
      <c r="M144" s="36">
        <v>1214</v>
      </c>
      <c r="N144" s="36">
        <v>1061</v>
      </c>
      <c r="O144" s="36">
        <v>1102</v>
      </c>
      <c r="P144" s="36">
        <v>1242</v>
      </c>
      <c r="Q144" s="36">
        <v>1258</v>
      </c>
      <c r="R144" s="36">
        <v>1335</v>
      </c>
      <c r="S144" s="36">
        <v>1240</v>
      </c>
      <c r="T144" s="36">
        <v>1344</v>
      </c>
      <c r="U144" s="36">
        <v>1363</v>
      </c>
      <c r="V144" s="36">
        <v>1371</v>
      </c>
      <c r="W144" s="36">
        <v>1403</v>
      </c>
      <c r="X144" s="36">
        <v>1218</v>
      </c>
      <c r="Y144" s="36">
        <v>1010</v>
      </c>
    </row>
    <row r="145" spans="1:25">
      <c r="A145" s="28">
        <v>349</v>
      </c>
      <c r="B145" s="28" t="s">
        <v>61</v>
      </c>
      <c r="C145" s="28"/>
      <c r="D145" s="28"/>
      <c r="E145" s="28"/>
      <c r="F145" s="36" t="s">
        <v>194</v>
      </c>
      <c r="G145" s="36">
        <v>530</v>
      </c>
      <c r="H145" s="36">
        <v>455</v>
      </c>
      <c r="I145" s="36">
        <v>442</v>
      </c>
      <c r="J145" s="36">
        <v>504</v>
      </c>
      <c r="K145" s="36">
        <v>517</v>
      </c>
      <c r="L145" s="36">
        <v>496</v>
      </c>
      <c r="M145" s="36">
        <v>495</v>
      </c>
      <c r="N145" s="36">
        <v>466</v>
      </c>
      <c r="O145" s="36">
        <v>424</v>
      </c>
      <c r="P145" s="36">
        <v>520</v>
      </c>
      <c r="Q145" s="36">
        <v>577</v>
      </c>
      <c r="R145" s="36">
        <v>601</v>
      </c>
      <c r="S145" s="36">
        <v>637</v>
      </c>
      <c r="T145" s="36">
        <v>650</v>
      </c>
      <c r="U145" s="36">
        <v>744</v>
      </c>
      <c r="V145" s="36">
        <v>749</v>
      </c>
      <c r="W145" s="36">
        <v>793</v>
      </c>
      <c r="X145" s="36">
        <v>792</v>
      </c>
      <c r="Y145" s="36">
        <v>788</v>
      </c>
    </row>
    <row r="146" spans="1:25">
      <c r="A146" s="28">
        <v>520</v>
      </c>
      <c r="B146" s="28" t="s">
        <v>110</v>
      </c>
      <c r="C146" s="28"/>
      <c r="D146" s="28"/>
      <c r="E146" s="28"/>
      <c r="F146" s="36" t="s">
        <v>194</v>
      </c>
      <c r="G146" s="36" t="s">
        <v>194</v>
      </c>
      <c r="H146" s="36" t="s">
        <v>194</v>
      </c>
      <c r="I146" s="36" t="s">
        <v>194</v>
      </c>
      <c r="J146" s="36" t="s">
        <v>194</v>
      </c>
      <c r="K146" s="36" t="s">
        <v>194</v>
      </c>
      <c r="L146" s="36" t="s">
        <v>194</v>
      </c>
      <c r="M146" s="36" t="s">
        <v>194</v>
      </c>
      <c r="N146" s="36" t="s">
        <v>194</v>
      </c>
      <c r="O146" s="36" t="s">
        <v>194</v>
      </c>
      <c r="P146" s="36" t="s">
        <v>194</v>
      </c>
      <c r="Q146" s="36" t="s">
        <v>194</v>
      </c>
      <c r="R146" s="36" t="s">
        <v>194</v>
      </c>
      <c r="S146" s="36" t="s">
        <v>194</v>
      </c>
      <c r="T146" s="36" t="s">
        <v>194</v>
      </c>
      <c r="U146" s="36" t="s">
        <v>194</v>
      </c>
      <c r="V146" s="36" t="s">
        <v>194</v>
      </c>
      <c r="W146" s="36" t="s">
        <v>194</v>
      </c>
      <c r="X146" s="36" t="s">
        <v>194</v>
      </c>
      <c r="Y146" s="36" t="s">
        <v>194</v>
      </c>
    </row>
    <row r="147" spans="1:25">
      <c r="A147" s="28">
        <v>230</v>
      </c>
      <c r="B147" s="28" t="s">
        <v>44</v>
      </c>
      <c r="C147" s="1015">
        <v>15032</v>
      </c>
      <c r="D147" s="1015">
        <v>15560</v>
      </c>
      <c r="E147" s="1015">
        <v>14571</v>
      </c>
      <c r="F147" s="36">
        <v>14118</v>
      </c>
      <c r="G147" s="36">
        <v>13056</v>
      </c>
      <c r="H147" s="36">
        <v>14196</v>
      </c>
      <c r="I147" s="36">
        <v>12782</v>
      </c>
      <c r="J147" s="36">
        <v>13243</v>
      </c>
      <c r="K147" s="36">
        <v>12938</v>
      </c>
      <c r="L147" s="36">
        <v>13056</v>
      </c>
      <c r="M147" s="36">
        <v>12832</v>
      </c>
      <c r="N147" s="36">
        <v>13168</v>
      </c>
      <c r="O147" s="36">
        <v>13639</v>
      </c>
      <c r="P147" s="36">
        <v>13814</v>
      </c>
      <c r="Q147" s="36">
        <v>14145</v>
      </c>
      <c r="R147" s="36">
        <v>14010</v>
      </c>
      <c r="S147" s="36">
        <v>14461</v>
      </c>
      <c r="T147" s="36">
        <v>14565</v>
      </c>
      <c r="U147" s="36">
        <v>17027</v>
      </c>
      <c r="V147" s="36">
        <v>17591</v>
      </c>
      <c r="W147" s="36">
        <v>17646</v>
      </c>
      <c r="X147" s="36">
        <v>16939</v>
      </c>
      <c r="Y147" s="36">
        <v>15803</v>
      </c>
    </row>
    <row r="148" spans="1:25">
      <c r="A148" s="28">
        <v>780</v>
      </c>
      <c r="B148" s="28" t="s">
        <v>165</v>
      </c>
      <c r="C148" s="989">
        <v>403</v>
      </c>
      <c r="D148" s="989">
        <v>311</v>
      </c>
      <c r="E148" s="989">
        <v>423</v>
      </c>
      <c r="F148" s="36">
        <v>578</v>
      </c>
      <c r="G148" s="36">
        <v>648</v>
      </c>
      <c r="H148" s="36">
        <v>694</v>
      </c>
      <c r="I148" s="36">
        <v>806</v>
      </c>
      <c r="J148" s="36">
        <v>1356</v>
      </c>
      <c r="K148" s="36">
        <v>1267</v>
      </c>
      <c r="L148" s="36">
        <v>1125</v>
      </c>
      <c r="M148" s="36">
        <v>1179</v>
      </c>
      <c r="N148" s="36">
        <v>1062</v>
      </c>
      <c r="O148" s="36">
        <v>1421</v>
      </c>
      <c r="P148" s="36">
        <v>1186</v>
      </c>
      <c r="Q148" s="36">
        <v>981</v>
      </c>
      <c r="R148" s="36">
        <v>883</v>
      </c>
      <c r="S148" s="36">
        <v>983</v>
      </c>
      <c r="T148" s="36">
        <v>910</v>
      </c>
      <c r="U148" s="36">
        <v>1051</v>
      </c>
      <c r="V148" s="36">
        <v>1287</v>
      </c>
      <c r="W148" s="36">
        <v>1474</v>
      </c>
      <c r="X148" s="36">
        <v>1480</v>
      </c>
      <c r="Y148" s="36">
        <v>1280</v>
      </c>
    </row>
    <row r="149" spans="1:25">
      <c r="A149" s="28">
        <v>625</v>
      </c>
      <c r="B149" s="28" t="s">
        <v>132</v>
      </c>
      <c r="C149" s="942">
        <v>750</v>
      </c>
      <c r="D149" s="28"/>
      <c r="E149" s="943">
        <v>640</v>
      </c>
      <c r="F149" s="36">
        <v>506</v>
      </c>
      <c r="G149" s="36">
        <v>438</v>
      </c>
      <c r="H149" s="36">
        <v>502</v>
      </c>
      <c r="I149" s="36">
        <v>372</v>
      </c>
      <c r="J149" s="36">
        <v>521</v>
      </c>
      <c r="K149" s="36">
        <v>263</v>
      </c>
      <c r="L149" s="36">
        <v>208</v>
      </c>
      <c r="M149" s="36">
        <v>602</v>
      </c>
      <c r="N149" s="36">
        <v>1079</v>
      </c>
      <c r="O149" s="36">
        <v>1404</v>
      </c>
      <c r="P149" s="36">
        <v>882</v>
      </c>
      <c r="Q149" s="36">
        <v>1021</v>
      </c>
      <c r="R149" s="36">
        <v>781</v>
      </c>
      <c r="S149" s="36">
        <v>2220</v>
      </c>
      <c r="T149" s="36">
        <v>1815</v>
      </c>
      <c r="U149" s="36">
        <v>1991</v>
      </c>
      <c r="V149" s="36" t="s">
        <v>194</v>
      </c>
      <c r="W149" s="36" t="s">
        <v>194</v>
      </c>
      <c r="X149" s="36" t="s">
        <v>194</v>
      </c>
      <c r="Y149" s="36" t="s">
        <v>194</v>
      </c>
    </row>
    <row r="150" spans="1:25">
      <c r="A150" s="28">
        <v>572</v>
      </c>
      <c r="B150" s="28" t="s">
        <v>123</v>
      </c>
      <c r="C150" s="944">
        <v>13.6</v>
      </c>
      <c r="D150" s="944">
        <v>16</v>
      </c>
      <c r="E150" s="944">
        <v>21.1</v>
      </c>
      <c r="F150" s="36">
        <v>22.8</v>
      </c>
      <c r="G150" s="36">
        <v>28.7</v>
      </c>
      <c r="H150" s="36">
        <v>33.200000000000003</v>
      </c>
      <c r="I150" s="36">
        <v>34.5</v>
      </c>
      <c r="J150" s="36">
        <v>35</v>
      </c>
      <c r="K150" s="36">
        <v>35.9</v>
      </c>
      <c r="L150" s="36">
        <v>34.799999999999997</v>
      </c>
      <c r="M150" s="36">
        <v>38.700000000000003</v>
      </c>
      <c r="N150" s="36">
        <v>40.5</v>
      </c>
      <c r="O150" s="36">
        <v>38.799999999999997</v>
      </c>
      <c r="P150" s="36">
        <v>36.5</v>
      </c>
      <c r="Q150" s="36">
        <v>37.200000000000003</v>
      </c>
      <c r="R150" s="36">
        <v>43.3</v>
      </c>
      <c r="S150" s="36">
        <v>47.8</v>
      </c>
      <c r="T150" s="36">
        <v>62.6</v>
      </c>
      <c r="U150" s="36">
        <v>62.3</v>
      </c>
      <c r="V150" s="36">
        <v>62.6</v>
      </c>
      <c r="W150" s="36">
        <v>69.7</v>
      </c>
      <c r="X150" s="36">
        <v>101</v>
      </c>
      <c r="Y150" s="36">
        <v>102</v>
      </c>
    </row>
    <row r="151" spans="1:25">
      <c r="A151" s="28">
        <v>380</v>
      </c>
      <c r="B151" s="28" t="s">
        <v>77</v>
      </c>
      <c r="C151" s="1016">
        <v>6676</v>
      </c>
      <c r="D151" s="1016">
        <v>6754</v>
      </c>
      <c r="E151" s="1016">
        <v>6881</v>
      </c>
      <c r="F151" s="36">
        <v>6481</v>
      </c>
      <c r="G151" s="36">
        <v>6298</v>
      </c>
      <c r="H151" s="36">
        <v>6280</v>
      </c>
      <c r="I151" s="36">
        <v>6266</v>
      </c>
      <c r="J151" s="36">
        <v>6280</v>
      </c>
      <c r="K151" s="36">
        <v>6362</v>
      </c>
      <c r="L151" s="36">
        <v>6044</v>
      </c>
      <c r="M151" s="36">
        <v>6217</v>
      </c>
      <c r="N151" s="36">
        <v>6452</v>
      </c>
      <c r="O151" s="36">
        <v>6686</v>
      </c>
      <c r="P151" s="36">
        <v>6250</v>
      </c>
      <c r="Q151" s="36">
        <v>6084</v>
      </c>
      <c r="R151" s="36">
        <v>6040</v>
      </c>
      <c r="S151" s="36">
        <v>5684</v>
      </c>
      <c r="T151" s="36">
        <v>5758</v>
      </c>
      <c r="U151" s="36">
        <v>5668</v>
      </c>
      <c r="V151" s="36">
        <v>5817</v>
      </c>
      <c r="W151" s="36">
        <v>5174</v>
      </c>
      <c r="X151" s="36">
        <v>5063</v>
      </c>
      <c r="Y151" s="36">
        <v>5248</v>
      </c>
    </row>
    <row r="152" spans="1:25">
      <c r="A152" s="28">
        <v>225</v>
      </c>
      <c r="B152" s="28" t="s">
        <v>43</v>
      </c>
      <c r="C152" s="1017">
        <v>6285</v>
      </c>
      <c r="D152" s="1017">
        <v>6407</v>
      </c>
      <c r="E152" s="1017">
        <v>6795</v>
      </c>
      <c r="F152" s="36">
        <v>6560</v>
      </c>
      <c r="G152" s="36">
        <v>6370</v>
      </c>
      <c r="H152" s="36">
        <v>5656</v>
      </c>
      <c r="I152" s="36">
        <v>5605</v>
      </c>
      <c r="J152" s="36">
        <v>5671</v>
      </c>
      <c r="K152" s="36">
        <v>5366</v>
      </c>
      <c r="L152" s="36">
        <v>5172</v>
      </c>
      <c r="M152" s="36">
        <v>5160</v>
      </c>
      <c r="N152" s="36">
        <v>4775</v>
      </c>
      <c r="O152" s="36">
        <v>4705</v>
      </c>
      <c r="P152" s="36">
        <v>4595</v>
      </c>
      <c r="Q152" s="36">
        <v>4398</v>
      </c>
      <c r="R152" s="36">
        <v>4283</v>
      </c>
      <c r="S152" s="36">
        <v>4204</v>
      </c>
      <c r="T152" s="36">
        <v>4138</v>
      </c>
      <c r="U152" s="36">
        <v>3939</v>
      </c>
      <c r="V152" s="36">
        <v>3964</v>
      </c>
      <c r="W152" s="36">
        <v>4060</v>
      </c>
      <c r="X152" s="36">
        <v>4057</v>
      </c>
      <c r="Y152" s="36">
        <v>4392</v>
      </c>
    </row>
    <row r="153" spans="1:25">
      <c r="A153" s="28">
        <v>652</v>
      </c>
      <c r="B153" s="28" t="s">
        <v>137</v>
      </c>
      <c r="C153" s="1030">
        <v>1117</v>
      </c>
      <c r="D153" s="1030">
        <v>1142</v>
      </c>
      <c r="E153" s="1030">
        <v>1059</v>
      </c>
      <c r="F153" s="36">
        <v>1712</v>
      </c>
      <c r="G153" s="36">
        <v>1586</v>
      </c>
      <c r="H153" s="36">
        <v>1256</v>
      </c>
      <c r="I153" s="36">
        <v>1427</v>
      </c>
      <c r="J153" s="36">
        <v>1435</v>
      </c>
      <c r="K153" s="36">
        <v>1394</v>
      </c>
      <c r="L153" s="36">
        <v>1438</v>
      </c>
      <c r="M153" s="36">
        <v>1517</v>
      </c>
      <c r="N153" s="36">
        <v>1634</v>
      </c>
      <c r="O153" s="36">
        <v>1760</v>
      </c>
      <c r="P153" s="36">
        <v>1850</v>
      </c>
      <c r="Q153" s="36">
        <v>1920</v>
      </c>
      <c r="R153" s="36">
        <v>2201</v>
      </c>
      <c r="S153" s="36">
        <v>2205</v>
      </c>
      <c r="T153" s="36">
        <v>2218</v>
      </c>
      <c r="U153" s="36">
        <v>1994</v>
      </c>
      <c r="V153" s="36">
        <v>2120</v>
      </c>
      <c r="W153" s="36">
        <v>1922</v>
      </c>
      <c r="X153" s="36">
        <v>2182</v>
      </c>
      <c r="Y153" s="36">
        <v>2236</v>
      </c>
    </row>
    <row r="154" spans="1:25">
      <c r="A154" s="28">
        <v>702</v>
      </c>
      <c r="B154" s="28" t="s">
        <v>150</v>
      </c>
      <c r="C154" s="28"/>
      <c r="D154" s="28"/>
      <c r="E154" s="28"/>
      <c r="F154" s="36" t="s">
        <v>194</v>
      </c>
      <c r="G154" s="36">
        <v>34.6</v>
      </c>
      <c r="H154" s="36">
        <v>125</v>
      </c>
      <c r="I154" s="36">
        <v>46.9</v>
      </c>
      <c r="J154" s="36">
        <v>13.5</v>
      </c>
      <c r="K154" s="36">
        <v>14.5</v>
      </c>
      <c r="L154" s="36">
        <v>20.8</v>
      </c>
      <c r="M154" s="36">
        <v>23.9</v>
      </c>
      <c r="N154" s="36">
        <v>20</v>
      </c>
      <c r="O154" s="36">
        <v>17.2</v>
      </c>
      <c r="P154" s="36">
        <v>17.100000000000001</v>
      </c>
      <c r="Q154" s="36">
        <v>36.4</v>
      </c>
      <c r="R154" s="36">
        <v>47.2</v>
      </c>
      <c r="S154" s="36">
        <v>55.4</v>
      </c>
      <c r="T154" s="36" t="s">
        <v>194</v>
      </c>
      <c r="U154" s="36" t="s">
        <v>194</v>
      </c>
      <c r="V154" s="36" t="s">
        <v>194</v>
      </c>
      <c r="W154" s="36" t="s">
        <v>194</v>
      </c>
      <c r="X154" s="36" t="s">
        <v>194</v>
      </c>
      <c r="Y154" s="36" t="s">
        <v>194</v>
      </c>
    </row>
    <row r="155" spans="1:25">
      <c r="A155" s="28">
        <v>713</v>
      </c>
      <c r="B155" s="28" t="s">
        <v>156</v>
      </c>
      <c r="C155" s="982">
        <v>8035</v>
      </c>
      <c r="D155" s="982">
        <v>8813</v>
      </c>
      <c r="E155" s="982">
        <v>9296</v>
      </c>
      <c r="F155" s="36">
        <v>9553</v>
      </c>
      <c r="G155" s="36">
        <v>9662</v>
      </c>
      <c r="H155" s="36">
        <v>10954</v>
      </c>
      <c r="I155" s="36">
        <v>10831</v>
      </c>
      <c r="J155" s="36">
        <v>9790</v>
      </c>
      <c r="K155" s="36">
        <v>9874</v>
      </c>
      <c r="L155" s="36">
        <v>10250</v>
      </c>
      <c r="M155" s="36">
        <v>9992</v>
      </c>
      <c r="N155" s="36">
        <v>8607</v>
      </c>
      <c r="O155" s="36">
        <v>7984</v>
      </c>
      <c r="P155" s="36">
        <v>8146</v>
      </c>
      <c r="Q155" s="36">
        <v>7424</v>
      </c>
      <c r="R155" s="36">
        <v>7864</v>
      </c>
      <c r="S155" s="36">
        <v>8230</v>
      </c>
      <c r="T155" s="36">
        <v>7870</v>
      </c>
      <c r="U155" s="36">
        <v>7419</v>
      </c>
      <c r="V155" s="36">
        <v>7946</v>
      </c>
      <c r="W155" s="36">
        <v>8470</v>
      </c>
      <c r="X155" s="36">
        <v>9008</v>
      </c>
      <c r="Y155" s="36">
        <v>8535</v>
      </c>
    </row>
    <row r="156" spans="1:25">
      <c r="A156" s="28">
        <v>510</v>
      </c>
      <c r="B156" s="28" t="s">
        <v>107</v>
      </c>
      <c r="C156" s="945">
        <v>101</v>
      </c>
      <c r="D156" s="945">
        <v>172</v>
      </c>
      <c r="E156" s="945">
        <v>142</v>
      </c>
      <c r="F156" s="36">
        <v>154</v>
      </c>
      <c r="G156" s="36">
        <v>154</v>
      </c>
      <c r="H156" s="36">
        <v>102</v>
      </c>
      <c r="I156" s="36">
        <v>94.7</v>
      </c>
      <c r="J156" s="36">
        <v>123</v>
      </c>
      <c r="K156" s="36">
        <v>121</v>
      </c>
      <c r="L156" s="36">
        <v>129</v>
      </c>
      <c r="M156" s="36">
        <v>141</v>
      </c>
      <c r="N156" s="36">
        <v>140</v>
      </c>
      <c r="O156" s="36">
        <v>149</v>
      </c>
      <c r="P156" s="36">
        <v>173</v>
      </c>
      <c r="Q156" s="36">
        <v>169</v>
      </c>
      <c r="R156" s="36">
        <v>154</v>
      </c>
      <c r="S156" s="36">
        <v>157</v>
      </c>
      <c r="T156" s="36">
        <v>169</v>
      </c>
      <c r="U156" s="36">
        <v>185</v>
      </c>
      <c r="V156" s="36">
        <v>194</v>
      </c>
      <c r="W156" s="36">
        <v>197</v>
      </c>
      <c r="X156" s="36">
        <v>217</v>
      </c>
      <c r="Y156" s="36" t="s">
        <v>194</v>
      </c>
    </row>
    <row r="157" spans="1:25">
      <c r="A157" s="28">
        <v>800</v>
      </c>
      <c r="B157" s="28" t="s">
        <v>168</v>
      </c>
      <c r="C157" s="983">
        <v>2837</v>
      </c>
      <c r="D157" s="983">
        <v>2917</v>
      </c>
      <c r="E157" s="983">
        <v>3304</v>
      </c>
      <c r="F157" s="36">
        <v>3381</v>
      </c>
      <c r="G157" s="36">
        <v>3876</v>
      </c>
      <c r="H157" s="36">
        <v>3829</v>
      </c>
      <c r="I157" s="36">
        <v>4154</v>
      </c>
      <c r="J157" s="36">
        <v>4310</v>
      </c>
      <c r="K157" s="36">
        <v>4311</v>
      </c>
      <c r="L157" s="36">
        <v>3999</v>
      </c>
      <c r="M157" s="36">
        <v>3249</v>
      </c>
      <c r="N157" s="36">
        <v>2813</v>
      </c>
      <c r="O157" s="36">
        <v>2638</v>
      </c>
      <c r="P157" s="36">
        <v>2747</v>
      </c>
      <c r="Q157" s="36">
        <v>2755</v>
      </c>
      <c r="R157" s="36">
        <v>2802</v>
      </c>
      <c r="S157" s="36">
        <v>2528</v>
      </c>
      <c r="T157" s="36">
        <v>2547</v>
      </c>
      <c r="U157" s="36">
        <v>2654</v>
      </c>
      <c r="V157" s="36">
        <v>3498</v>
      </c>
      <c r="W157" s="36">
        <v>4115</v>
      </c>
      <c r="X157" s="36">
        <v>4907</v>
      </c>
      <c r="Y157" s="36">
        <v>4336</v>
      </c>
    </row>
    <row r="158" spans="1:25">
      <c r="A158" s="28">
        <v>701</v>
      </c>
      <c r="B158" s="28" t="s">
        <v>149</v>
      </c>
      <c r="C158" s="28"/>
      <c r="D158" s="28"/>
      <c r="E158" s="28"/>
      <c r="F158" s="36" t="s">
        <v>194</v>
      </c>
      <c r="G158" s="36" t="s">
        <v>194</v>
      </c>
      <c r="H158" s="36" t="s">
        <v>194</v>
      </c>
      <c r="I158" s="36">
        <v>196</v>
      </c>
      <c r="J158" s="36">
        <v>174</v>
      </c>
      <c r="K158" s="36">
        <v>168</v>
      </c>
      <c r="L158" s="36">
        <v>254</v>
      </c>
      <c r="M158" s="36">
        <v>215</v>
      </c>
      <c r="N158" s="36">
        <v>233</v>
      </c>
      <c r="O158" s="36" t="s">
        <v>194</v>
      </c>
      <c r="P158" s="36" t="s">
        <v>194</v>
      </c>
      <c r="Q158" s="36" t="s">
        <v>194</v>
      </c>
      <c r="R158" s="36" t="s">
        <v>194</v>
      </c>
      <c r="S158" s="36" t="s">
        <v>194</v>
      </c>
      <c r="T158" s="36" t="s">
        <v>194</v>
      </c>
      <c r="U158" s="36" t="s">
        <v>194</v>
      </c>
      <c r="V158" s="36" t="s">
        <v>194</v>
      </c>
      <c r="W158" s="36" t="s">
        <v>194</v>
      </c>
      <c r="X158" s="36" t="s">
        <v>194</v>
      </c>
      <c r="Y158" s="36" t="s">
        <v>194</v>
      </c>
    </row>
    <row r="159" spans="1:25">
      <c r="A159" s="28">
        <v>461</v>
      </c>
      <c r="B159" s="28" t="s">
        <v>97</v>
      </c>
      <c r="C159" s="946">
        <v>67.400000000000006</v>
      </c>
      <c r="D159" s="946">
        <v>70.7</v>
      </c>
      <c r="E159" s="946">
        <v>72.400000000000006</v>
      </c>
      <c r="F159" s="36">
        <v>67.599999999999994</v>
      </c>
      <c r="G159" s="36">
        <v>66.900000000000006</v>
      </c>
      <c r="H159" s="36">
        <v>73.8</v>
      </c>
      <c r="I159" s="36">
        <v>52.7</v>
      </c>
      <c r="J159" s="36">
        <v>49.4</v>
      </c>
      <c r="K159" s="36" t="s">
        <v>194</v>
      </c>
      <c r="L159" s="36" t="s">
        <v>194</v>
      </c>
      <c r="M159" s="36" t="s">
        <v>194</v>
      </c>
      <c r="N159" s="36" t="s">
        <v>194</v>
      </c>
      <c r="O159" s="36" t="s">
        <v>194</v>
      </c>
      <c r="P159" s="36" t="s">
        <v>194</v>
      </c>
      <c r="Q159" s="36" t="s">
        <v>194</v>
      </c>
      <c r="R159" s="36">
        <v>43.5</v>
      </c>
      <c r="S159" s="36">
        <v>43.3</v>
      </c>
      <c r="T159" s="36">
        <v>42.5</v>
      </c>
      <c r="U159" s="36" t="s">
        <v>194</v>
      </c>
      <c r="V159" s="36" t="s">
        <v>194</v>
      </c>
      <c r="W159" s="36">
        <v>55.1</v>
      </c>
      <c r="X159" s="36" t="s">
        <v>194</v>
      </c>
      <c r="Y159" s="36" t="s">
        <v>194</v>
      </c>
    </row>
    <row r="160" spans="1:25">
      <c r="A160" s="28">
        <v>955</v>
      </c>
      <c r="B160" s="28" t="s">
        <v>185</v>
      </c>
      <c r="C160" s="28"/>
      <c r="D160" s="28"/>
      <c r="E160" s="28"/>
      <c r="F160" s="35">
        <v>2.9</v>
      </c>
      <c r="G160" s="35">
        <v>2.6</v>
      </c>
      <c r="H160" s="35">
        <v>2.6</v>
      </c>
      <c r="I160" s="35">
        <v>2.9</v>
      </c>
      <c r="J160" s="35">
        <v>3.2</v>
      </c>
      <c r="K160" s="35">
        <v>3.2</v>
      </c>
      <c r="L160" s="35">
        <v>3.4</v>
      </c>
      <c r="M160" s="35">
        <v>3.4</v>
      </c>
      <c r="N160" s="35">
        <v>3.1</v>
      </c>
      <c r="O160" s="35">
        <v>3.2</v>
      </c>
      <c r="P160" s="35">
        <v>3.2</v>
      </c>
      <c r="Q160" s="35">
        <v>3</v>
      </c>
      <c r="R160" s="35">
        <v>2.8</v>
      </c>
      <c r="S160" s="35">
        <v>2.4</v>
      </c>
      <c r="T160" s="35">
        <v>2.6</v>
      </c>
      <c r="U160" s="35">
        <v>3.3</v>
      </c>
      <c r="V160" s="35">
        <v>3.5</v>
      </c>
      <c r="W160" s="36">
        <v>550</v>
      </c>
      <c r="X160" s="36">
        <v>532</v>
      </c>
      <c r="Y160" s="36">
        <v>548</v>
      </c>
    </row>
    <row r="161" spans="1:25">
      <c r="A161" s="28">
        <v>52</v>
      </c>
      <c r="B161" s="28" t="s">
        <v>7</v>
      </c>
      <c r="C161" s="28"/>
      <c r="D161" s="28"/>
      <c r="E161" s="28"/>
      <c r="F161" s="36" t="s">
        <v>194</v>
      </c>
      <c r="G161" s="36" t="s">
        <v>194</v>
      </c>
      <c r="H161" s="36" t="s">
        <v>194</v>
      </c>
      <c r="I161" s="36" t="s">
        <v>194</v>
      </c>
      <c r="J161" s="36" t="s">
        <v>194</v>
      </c>
      <c r="K161" s="36" t="s">
        <v>194</v>
      </c>
      <c r="L161" s="36" t="s">
        <v>194</v>
      </c>
      <c r="M161" s="36" t="s">
        <v>194</v>
      </c>
      <c r="N161" s="36" t="s">
        <v>194</v>
      </c>
      <c r="O161" s="36" t="s">
        <v>194</v>
      </c>
      <c r="P161" s="36" t="s">
        <v>194</v>
      </c>
      <c r="Q161" s="36" t="s">
        <v>194</v>
      </c>
      <c r="R161" s="36" t="s">
        <v>194</v>
      </c>
      <c r="S161" s="36" t="s">
        <v>194</v>
      </c>
      <c r="T161" s="36" t="s">
        <v>194</v>
      </c>
      <c r="U161" s="36" t="s">
        <v>194</v>
      </c>
      <c r="V161" s="36" t="s">
        <v>194</v>
      </c>
      <c r="W161" s="36" t="s">
        <v>194</v>
      </c>
      <c r="X161" s="36" t="s">
        <v>194</v>
      </c>
      <c r="Y161" s="36" t="s">
        <v>194</v>
      </c>
    </row>
    <row r="162" spans="1:25">
      <c r="A162" s="28">
        <v>616</v>
      </c>
      <c r="B162" s="28" t="s">
        <v>130</v>
      </c>
      <c r="C162" s="914">
        <v>352</v>
      </c>
      <c r="D162" s="914">
        <v>364</v>
      </c>
      <c r="E162" s="914">
        <v>335</v>
      </c>
      <c r="F162" s="36">
        <v>342</v>
      </c>
      <c r="G162" s="36">
        <v>344</v>
      </c>
      <c r="H162" s="36">
        <v>358</v>
      </c>
      <c r="I162" s="36">
        <v>370</v>
      </c>
      <c r="J162" s="36">
        <v>376</v>
      </c>
      <c r="K162" s="36">
        <v>433</v>
      </c>
      <c r="L162" s="36">
        <v>427</v>
      </c>
      <c r="M162" s="36">
        <v>436</v>
      </c>
      <c r="N162" s="36">
        <v>432</v>
      </c>
      <c r="O162" s="36">
        <v>451</v>
      </c>
      <c r="P162" s="36">
        <v>469</v>
      </c>
      <c r="Q162" s="36">
        <v>464</v>
      </c>
      <c r="R162" s="36">
        <v>483</v>
      </c>
      <c r="S162" s="36">
        <v>491</v>
      </c>
      <c r="T162" s="36">
        <v>529</v>
      </c>
      <c r="U162" s="36">
        <v>551</v>
      </c>
      <c r="V162" s="36">
        <v>507</v>
      </c>
    </row>
    <row r="163" spans="1:25">
      <c r="A163" s="28">
        <v>640</v>
      </c>
      <c r="B163" s="28" t="s">
        <v>134</v>
      </c>
      <c r="C163" s="1018">
        <v>8858</v>
      </c>
      <c r="D163" s="1018">
        <v>10252</v>
      </c>
      <c r="E163" s="1018">
        <v>12384</v>
      </c>
      <c r="F163" s="36">
        <v>12721</v>
      </c>
      <c r="G163" s="36">
        <v>13395</v>
      </c>
      <c r="H163" s="36">
        <v>14802</v>
      </c>
      <c r="I163" s="36">
        <v>14475</v>
      </c>
      <c r="J163" s="36">
        <v>14869</v>
      </c>
      <c r="K163" s="36">
        <v>16648</v>
      </c>
      <c r="L163" s="36">
        <v>17345</v>
      </c>
      <c r="M163" s="36">
        <v>18175</v>
      </c>
      <c r="N163" s="36">
        <v>20066</v>
      </c>
      <c r="O163" s="36">
        <v>19420</v>
      </c>
      <c r="P163" s="36">
        <v>17803</v>
      </c>
      <c r="Q163" s="36">
        <v>18942</v>
      </c>
      <c r="R163" s="36">
        <v>17096</v>
      </c>
      <c r="S163" s="36">
        <v>15602</v>
      </c>
      <c r="T163" s="36">
        <v>14770</v>
      </c>
      <c r="U163" s="36">
        <v>15859</v>
      </c>
      <c r="V163" s="36">
        <v>13880</v>
      </c>
      <c r="W163" s="36">
        <v>15285</v>
      </c>
      <c r="X163" s="36">
        <v>16302</v>
      </c>
      <c r="Y163" s="36">
        <v>15634</v>
      </c>
    </row>
    <row r="164" spans="1:25">
      <c r="A164" s="28">
        <v>696</v>
      </c>
      <c r="B164" s="28" t="s">
        <v>146</v>
      </c>
      <c r="C164" s="28"/>
      <c r="D164" s="28"/>
      <c r="E164" s="28"/>
      <c r="F164" s="36" t="s">
        <v>194</v>
      </c>
      <c r="G164" s="36" t="s">
        <v>194</v>
      </c>
      <c r="H164" s="36" t="s">
        <v>194</v>
      </c>
      <c r="I164" s="36" t="s">
        <v>194</v>
      </c>
      <c r="J164" s="36" t="s">
        <v>194</v>
      </c>
      <c r="K164" s="36" t="s">
        <v>194</v>
      </c>
      <c r="L164" s="36">
        <v>7163</v>
      </c>
      <c r="M164" s="36">
        <v>8239</v>
      </c>
      <c r="N164" s="36">
        <v>8486</v>
      </c>
      <c r="O164" s="36">
        <v>11084</v>
      </c>
      <c r="P164" s="36">
        <v>10703</v>
      </c>
      <c r="Q164" s="36">
        <v>9844</v>
      </c>
      <c r="R164" s="36">
        <v>10329</v>
      </c>
      <c r="S164" s="36">
        <v>11153</v>
      </c>
      <c r="T164" s="36">
        <v>10380</v>
      </c>
      <c r="U164" s="36">
        <v>10504</v>
      </c>
      <c r="V164" s="36">
        <v>11275</v>
      </c>
      <c r="W164" s="36">
        <v>13585</v>
      </c>
      <c r="X164" s="36">
        <v>15774</v>
      </c>
      <c r="Y164" s="36">
        <v>15749</v>
      </c>
    </row>
    <row r="165" spans="1:25">
      <c r="A165" s="28">
        <v>500</v>
      </c>
      <c r="B165" s="28" t="s">
        <v>105</v>
      </c>
      <c r="C165" s="947">
        <v>71.099999999999994</v>
      </c>
      <c r="D165" s="947">
        <v>90.9</v>
      </c>
      <c r="E165" s="947">
        <v>100</v>
      </c>
      <c r="F165" s="36">
        <v>92.3</v>
      </c>
      <c r="G165" s="36">
        <v>77.5</v>
      </c>
      <c r="H165" s="36">
        <v>97.6</v>
      </c>
      <c r="I165" s="36">
        <v>121</v>
      </c>
      <c r="J165" s="36">
        <v>137</v>
      </c>
      <c r="K165" s="36">
        <v>147</v>
      </c>
      <c r="L165" s="36">
        <v>145</v>
      </c>
      <c r="M165" s="36">
        <v>184</v>
      </c>
      <c r="N165" s="36">
        <v>211</v>
      </c>
      <c r="O165" s="36">
        <v>204</v>
      </c>
      <c r="P165" s="36">
        <v>206</v>
      </c>
      <c r="Q165" s="36">
        <v>221</v>
      </c>
      <c r="R165" s="36">
        <v>238</v>
      </c>
      <c r="S165" s="36">
        <v>272</v>
      </c>
      <c r="T165" s="36">
        <v>272</v>
      </c>
      <c r="U165" s="36">
        <v>263</v>
      </c>
      <c r="V165" s="36">
        <v>296</v>
      </c>
      <c r="W165" s="36">
        <v>346</v>
      </c>
      <c r="X165" s="36">
        <v>315</v>
      </c>
      <c r="Y165" s="36">
        <v>276</v>
      </c>
    </row>
    <row r="166" spans="1:25">
      <c r="A166" s="28">
        <v>200</v>
      </c>
      <c r="B166" s="28" t="s">
        <v>35</v>
      </c>
      <c r="C166" s="1019">
        <v>60044</v>
      </c>
      <c r="D166" s="1019">
        <v>59134</v>
      </c>
      <c r="E166" s="1019">
        <v>57864</v>
      </c>
      <c r="F166" s="36">
        <v>59439</v>
      </c>
      <c r="G166" s="36">
        <v>55828</v>
      </c>
      <c r="H166" s="36">
        <v>53763</v>
      </c>
      <c r="I166" s="36">
        <v>52033</v>
      </c>
      <c r="J166" s="36">
        <v>48447</v>
      </c>
      <c r="K166" s="36">
        <v>48196</v>
      </c>
      <c r="L166" s="36">
        <v>46024</v>
      </c>
      <c r="M166" s="36">
        <v>45466</v>
      </c>
      <c r="N166" s="36">
        <v>45324</v>
      </c>
      <c r="O166" s="36">
        <v>45549</v>
      </c>
      <c r="P166" s="36">
        <v>47112</v>
      </c>
      <c r="Q166" s="36">
        <v>49977</v>
      </c>
      <c r="R166" s="36">
        <v>52765</v>
      </c>
      <c r="S166" s="36">
        <v>52541</v>
      </c>
      <c r="T166" s="36">
        <v>52579</v>
      </c>
      <c r="U166" s="36">
        <v>52475</v>
      </c>
      <c r="V166" s="36">
        <v>53122</v>
      </c>
      <c r="W166" s="36">
        <v>55291</v>
      </c>
      <c r="X166" s="36">
        <v>57907</v>
      </c>
      <c r="Y166" s="36">
        <v>57424</v>
      </c>
    </row>
    <row r="167" spans="1:25">
      <c r="A167" s="28">
        <v>369</v>
      </c>
      <c r="B167" s="28" t="s">
        <v>71</v>
      </c>
      <c r="C167" s="28"/>
      <c r="D167" s="28"/>
      <c r="E167" s="28"/>
      <c r="F167" s="36" t="s">
        <v>194</v>
      </c>
      <c r="G167" s="36" t="s">
        <v>194</v>
      </c>
      <c r="H167" s="36">
        <v>399</v>
      </c>
      <c r="I167" s="36">
        <v>1758</v>
      </c>
      <c r="J167" s="36">
        <v>1889</v>
      </c>
      <c r="K167" s="36">
        <v>1820</v>
      </c>
      <c r="L167" s="36">
        <v>2256</v>
      </c>
      <c r="M167" s="36">
        <v>1824</v>
      </c>
      <c r="N167" s="36">
        <v>1680</v>
      </c>
      <c r="O167" s="36">
        <v>2083</v>
      </c>
      <c r="P167" s="36">
        <v>1760</v>
      </c>
      <c r="Q167" s="36">
        <v>1871</v>
      </c>
      <c r="R167" s="36">
        <v>2162</v>
      </c>
      <c r="S167" s="36">
        <v>2334</v>
      </c>
      <c r="T167" s="36">
        <v>2826</v>
      </c>
      <c r="U167" s="36">
        <v>3170</v>
      </c>
      <c r="V167" s="36">
        <v>3853</v>
      </c>
      <c r="W167" s="36">
        <v>3770</v>
      </c>
      <c r="X167" s="36">
        <v>3347</v>
      </c>
      <c r="Y167" s="36">
        <v>3442</v>
      </c>
    </row>
    <row r="168" spans="1:25">
      <c r="A168" s="28">
        <v>165</v>
      </c>
      <c r="B168" s="28" t="s">
        <v>34</v>
      </c>
      <c r="C168" s="971">
        <v>581</v>
      </c>
      <c r="D168" s="971">
        <v>632</v>
      </c>
      <c r="E168" s="971">
        <v>607</v>
      </c>
      <c r="F168" s="36">
        <v>468</v>
      </c>
      <c r="G168" s="36">
        <v>623</v>
      </c>
      <c r="H168" s="36">
        <v>484</v>
      </c>
      <c r="I168" s="36">
        <v>716</v>
      </c>
      <c r="J168" s="36">
        <v>439</v>
      </c>
      <c r="K168" s="36">
        <v>419</v>
      </c>
      <c r="L168" s="36">
        <v>414</v>
      </c>
      <c r="M168" s="36">
        <v>404</v>
      </c>
      <c r="N168" s="36">
        <v>418</v>
      </c>
      <c r="O168" s="36">
        <v>350</v>
      </c>
      <c r="P168" s="36">
        <v>401</v>
      </c>
      <c r="Q168" s="36">
        <v>348</v>
      </c>
      <c r="R168" s="36">
        <v>334</v>
      </c>
      <c r="S168" s="36">
        <v>324</v>
      </c>
      <c r="T168" s="36">
        <v>335</v>
      </c>
      <c r="U168" s="36">
        <v>341</v>
      </c>
      <c r="V168" s="36">
        <v>349</v>
      </c>
      <c r="W168" s="36">
        <v>398</v>
      </c>
      <c r="X168" s="36">
        <v>503</v>
      </c>
      <c r="Y168" s="36">
        <v>491</v>
      </c>
    </row>
    <row r="169" spans="1:25">
      <c r="A169" s="28">
        <v>2</v>
      </c>
      <c r="B169" s="28" t="s">
        <v>0</v>
      </c>
      <c r="C169" s="961">
        <v>531691</v>
      </c>
      <c r="D169" s="961">
        <v>526271</v>
      </c>
      <c r="E169" s="961">
        <v>502749</v>
      </c>
      <c r="F169" s="36">
        <v>441561</v>
      </c>
      <c r="G169" s="36">
        <v>466560</v>
      </c>
      <c r="H169" s="36">
        <v>442029</v>
      </c>
      <c r="I169" s="36">
        <v>415106</v>
      </c>
      <c r="J169" s="36">
        <v>392601</v>
      </c>
      <c r="K169" s="36">
        <v>371250</v>
      </c>
      <c r="L169" s="36">
        <v>369315</v>
      </c>
      <c r="M169" s="36">
        <v>360995</v>
      </c>
      <c r="N169" s="36">
        <v>361885</v>
      </c>
      <c r="O169" s="36">
        <v>375893</v>
      </c>
      <c r="P169" s="36">
        <v>378925</v>
      </c>
      <c r="Q169" s="36">
        <v>425471</v>
      </c>
      <c r="R169" s="36">
        <v>484255</v>
      </c>
      <c r="S169" s="36">
        <v>527799</v>
      </c>
      <c r="T169" s="36">
        <v>552966</v>
      </c>
      <c r="U169" s="36">
        <v>561555</v>
      </c>
      <c r="V169" s="36">
        <v>576294</v>
      </c>
      <c r="W169" s="36">
        <v>618940</v>
      </c>
      <c r="X169" s="36">
        <v>668604</v>
      </c>
      <c r="Y169" s="36">
        <v>687105</v>
      </c>
    </row>
    <row r="170" spans="1:25">
      <c r="A170" s="28">
        <v>704</v>
      </c>
      <c r="B170" s="28" t="s">
        <v>152</v>
      </c>
      <c r="C170" s="28"/>
      <c r="D170" s="28"/>
      <c r="E170" s="28"/>
      <c r="F170" s="36" t="s">
        <v>194</v>
      </c>
      <c r="G170" s="36" t="s">
        <v>194</v>
      </c>
      <c r="H170" s="36" t="s">
        <v>194</v>
      </c>
      <c r="I170" s="36">
        <v>52.4</v>
      </c>
      <c r="J170" s="36">
        <v>43.9</v>
      </c>
      <c r="K170" s="36">
        <v>58.6</v>
      </c>
      <c r="L170" s="36">
        <v>68.099999999999994</v>
      </c>
      <c r="M170" s="36" t="s">
        <v>194</v>
      </c>
      <c r="N170" s="36">
        <v>104</v>
      </c>
      <c r="O170" s="36">
        <v>89.6</v>
      </c>
      <c r="P170" s="36">
        <v>77.2</v>
      </c>
      <c r="Q170" s="36">
        <v>65.7</v>
      </c>
      <c r="R170" s="36">
        <v>70.099999999999994</v>
      </c>
      <c r="S170" s="36" t="s">
        <v>194</v>
      </c>
      <c r="T170" s="36" t="s">
        <v>194</v>
      </c>
      <c r="U170" s="36" t="s">
        <v>194</v>
      </c>
      <c r="V170" s="36" t="s">
        <v>194</v>
      </c>
      <c r="W170" s="36" t="s">
        <v>194</v>
      </c>
      <c r="X170" s="36" t="s">
        <v>194</v>
      </c>
      <c r="Y170" s="36" t="s">
        <v>194</v>
      </c>
    </row>
    <row r="171" spans="1:25">
      <c r="A171" s="28">
        <v>101</v>
      </c>
      <c r="B171" s="28" t="s">
        <v>24</v>
      </c>
      <c r="C171" s="28"/>
      <c r="D171" s="28"/>
      <c r="E171" s="28"/>
      <c r="F171" s="36">
        <v>4133</v>
      </c>
      <c r="G171" s="36">
        <v>3820</v>
      </c>
      <c r="H171" s="36">
        <v>4765</v>
      </c>
      <c r="I171" s="36">
        <v>3495</v>
      </c>
      <c r="J171" s="36">
        <v>3357</v>
      </c>
      <c r="K171" s="36">
        <v>2424</v>
      </c>
      <c r="L171" s="36">
        <v>3976</v>
      </c>
      <c r="M171" s="36">
        <v>3090</v>
      </c>
      <c r="N171" s="36">
        <v>2684</v>
      </c>
      <c r="O171" s="36">
        <v>3293</v>
      </c>
      <c r="P171" s="36">
        <v>3329</v>
      </c>
      <c r="Q171" s="36">
        <v>2445</v>
      </c>
      <c r="R171" s="36">
        <v>2380</v>
      </c>
      <c r="S171" s="36">
        <v>3374</v>
      </c>
      <c r="T171" s="36">
        <v>4558</v>
      </c>
      <c r="U171" s="36">
        <v>6014</v>
      </c>
      <c r="V171" s="36">
        <v>5020</v>
      </c>
      <c r="W171" s="36">
        <v>5562</v>
      </c>
      <c r="X171" s="36">
        <v>4273</v>
      </c>
      <c r="Y171" s="36">
        <v>3106</v>
      </c>
    </row>
    <row r="172" spans="1:25">
      <c r="A172" s="28">
        <v>678</v>
      </c>
      <c r="B172" s="28" t="s">
        <v>404</v>
      </c>
      <c r="C172" s="28"/>
      <c r="D172" s="28"/>
      <c r="E172" s="28"/>
      <c r="F172" s="35" t="s">
        <v>194</v>
      </c>
      <c r="G172" s="35" t="s">
        <v>194</v>
      </c>
      <c r="H172" s="35" t="s">
        <v>194</v>
      </c>
      <c r="I172" s="35" t="s">
        <v>194</v>
      </c>
      <c r="J172" s="35" t="s">
        <v>194</v>
      </c>
      <c r="K172" s="35" t="s">
        <v>194</v>
      </c>
      <c r="L172" s="35" t="s">
        <v>194</v>
      </c>
      <c r="M172" s="35" t="s">
        <v>194</v>
      </c>
      <c r="N172" s="35" t="s">
        <v>194</v>
      </c>
      <c r="O172" s="35" t="s">
        <v>194</v>
      </c>
      <c r="P172" s="35" t="s">
        <v>194</v>
      </c>
      <c r="Q172" s="35" t="s">
        <v>194</v>
      </c>
      <c r="R172" s="35" t="s">
        <v>194</v>
      </c>
      <c r="S172" s="35" t="s">
        <v>194</v>
      </c>
      <c r="T172" s="35" t="s">
        <v>194</v>
      </c>
      <c r="U172" s="35" t="s">
        <v>194</v>
      </c>
      <c r="V172" s="35" t="s">
        <v>194</v>
      </c>
    </row>
    <row r="173" spans="1:25">
      <c r="A173" s="28">
        <v>679</v>
      </c>
      <c r="B173" s="28" t="s">
        <v>142</v>
      </c>
      <c r="C173" s="28"/>
      <c r="D173" s="28"/>
      <c r="E173" s="1031">
        <v>1100</v>
      </c>
      <c r="F173" s="36">
        <v>1030</v>
      </c>
      <c r="G173" s="36">
        <v>1012</v>
      </c>
      <c r="H173" s="36">
        <v>876</v>
      </c>
      <c r="I173" s="36">
        <v>898</v>
      </c>
      <c r="J173" s="36">
        <v>674</v>
      </c>
      <c r="K173" s="36">
        <v>614</v>
      </c>
      <c r="L173" s="36">
        <v>788</v>
      </c>
      <c r="M173" s="36">
        <v>756</v>
      </c>
      <c r="N173" s="36">
        <v>820</v>
      </c>
      <c r="O173" s="36">
        <v>976</v>
      </c>
      <c r="P173" s="36">
        <v>1037</v>
      </c>
      <c r="Q173" s="36">
        <v>1313</v>
      </c>
      <c r="R173" s="36">
        <v>1355</v>
      </c>
      <c r="S173" s="36">
        <v>1105</v>
      </c>
      <c r="T173" s="36">
        <v>1136</v>
      </c>
      <c r="U173" s="36">
        <v>1063</v>
      </c>
      <c r="V173" s="36">
        <v>1271</v>
      </c>
      <c r="W173" s="36">
        <v>1222</v>
      </c>
      <c r="X173" s="36" t="s">
        <v>194</v>
      </c>
      <c r="Y173" s="36" t="s">
        <v>194</v>
      </c>
    </row>
    <row r="174" spans="1:25">
      <c r="A174" s="28">
        <v>680</v>
      </c>
      <c r="B174" s="28" t="s">
        <v>405</v>
      </c>
      <c r="C174" s="28"/>
      <c r="D174" s="28"/>
      <c r="E174" s="28"/>
      <c r="F174" s="35" t="s">
        <v>194</v>
      </c>
      <c r="G174" s="35" t="s">
        <v>194</v>
      </c>
      <c r="H174" s="35" t="s">
        <v>194</v>
      </c>
      <c r="I174" s="35" t="s">
        <v>194</v>
      </c>
      <c r="J174" s="35" t="s">
        <v>194</v>
      </c>
      <c r="K174" s="35" t="s">
        <v>194</v>
      </c>
      <c r="L174" s="35" t="s">
        <v>194</v>
      </c>
      <c r="M174" s="35" t="s">
        <v>194</v>
      </c>
      <c r="N174" s="35" t="s">
        <v>194</v>
      </c>
      <c r="O174" s="35" t="s">
        <v>194</v>
      </c>
      <c r="P174" s="35" t="s">
        <v>194</v>
      </c>
      <c r="Q174" s="35" t="s">
        <v>194</v>
      </c>
      <c r="R174" s="35" t="s">
        <v>194</v>
      </c>
      <c r="S174" s="35" t="s">
        <v>194</v>
      </c>
      <c r="T174" s="35" t="s">
        <v>194</v>
      </c>
      <c r="U174" s="35" t="s">
        <v>194</v>
      </c>
      <c r="V174" s="35" t="s">
        <v>194</v>
      </c>
    </row>
    <row r="175" spans="1:25">
      <c r="A175" s="28">
        <v>345</v>
      </c>
      <c r="B175" s="28" t="s">
        <v>59</v>
      </c>
      <c r="C175" s="28"/>
      <c r="D175" s="28"/>
      <c r="E175" s="28"/>
      <c r="F175" s="36" t="s">
        <v>194</v>
      </c>
      <c r="G175" s="36" t="s">
        <v>194</v>
      </c>
      <c r="H175" s="36" t="s">
        <v>194</v>
      </c>
      <c r="I175" s="36" t="s">
        <v>194</v>
      </c>
      <c r="J175" s="36" t="s">
        <v>194</v>
      </c>
      <c r="K175" s="36">
        <v>1091</v>
      </c>
      <c r="L175" s="36">
        <v>1211</v>
      </c>
      <c r="M175" s="36">
        <v>1109</v>
      </c>
      <c r="N175" s="36">
        <v>1039</v>
      </c>
      <c r="O175" s="36">
        <v>1504</v>
      </c>
      <c r="P175" s="36">
        <v>1197</v>
      </c>
      <c r="Q175" s="36">
        <v>1324</v>
      </c>
      <c r="R175" s="36">
        <v>1161</v>
      </c>
      <c r="S175" s="36">
        <v>1072</v>
      </c>
      <c r="T175" s="36">
        <v>899</v>
      </c>
      <c r="U175" s="36">
        <v>907</v>
      </c>
      <c r="V175" s="36">
        <v>1022</v>
      </c>
      <c r="W175" s="36">
        <v>1009</v>
      </c>
      <c r="X175" s="36">
        <v>941</v>
      </c>
      <c r="Y175" s="36">
        <v>920</v>
      </c>
    </row>
    <row r="176" spans="1:25">
      <c r="A176" s="28">
        <v>551</v>
      </c>
      <c r="B176" s="28" t="s">
        <v>116</v>
      </c>
      <c r="C176" s="948">
        <v>278</v>
      </c>
      <c r="D176" s="948">
        <v>403</v>
      </c>
      <c r="E176" s="948">
        <v>356</v>
      </c>
      <c r="F176" s="36">
        <v>237</v>
      </c>
      <c r="G176" s="36">
        <v>270</v>
      </c>
      <c r="H176" s="36">
        <v>131</v>
      </c>
      <c r="I176" s="36">
        <v>154</v>
      </c>
      <c r="J176" s="36">
        <v>130</v>
      </c>
      <c r="K176" s="36">
        <v>86.7</v>
      </c>
      <c r="L176" s="36">
        <v>86.9</v>
      </c>
      <c r="M176" s="36" t="s">
        <v>194</v>
      </c>
      <c r="N176" s="36">
        <v>129</v>
      </c>
      <c r="O176" s="36" t="s">
        <v>194</v>
      </c>
      <c r="P176" s="36" t="s">
        <v>194</v>
      </c>
      <c r="Q176" s="36" t="s">
        <v>194</v>
      </c>
      <c r="R176" s="36" t="s">
        <v>194</v>
      </c>
      <c r="S176" s="36">
        <v>177</v>
      </c>
      <c r="T176" s="36">
        <v>191</v>
      </c>
      <c r="U176" s="36">
        <v>209</v>
      </c>
      <c r="V176" s="36">
        <v>151</v>
      </c>
      <c r="W176" s="36">
        <v>252</v>
      </c>
      <c r="X176" s="36">
        <v>212</v>
      </c>
      <c r="Y176" s="36">
        <v>243</v>
      </c>
    </row>
    <row r="177" spans="1:25">
      <c r="A177" s="28">
        <v>552</v>
      </c>
      <c r="B177" s="28" t="s">
        <v>117</v>
      </c>
      <c r="C177" s="949">
        <v>198</v>
      </c>
      <c r="D177" s="949">
        <v>199</v>
      </c>
      <c r="E177" s="949">
        <v>201</v>
      </c>
      <c r="F177" s="36">
        <v>191</v>
      </c>
      <c r="G177" s="36">
        <v>153</v>
      </c>
      <c r="H177" s="36">
        <v>136</v>
      </c>
      <c r="I177" s="36">
        <v>876</v>
      </c>
      <c r="J177" s="36">
        <v>739</v>
      </c>
      <c r="K177" s="36">
        <v>142</v>
      </c>
      <c r="L177" s="36">
        <v>150</v>
      </c>
      <c r="M177" s="36" t="s">
        <v>194</v>
      </c>
      <c r="N177" s="36">
        <v>211</v>
      </c>
      <c r="O177" s="36">
        <v>207</v>
      </c>
      <c r="P177" s="36">
        <v>120</v>
      </c>
      <c r="Q177" s="36">
        <v>118</v>
      </c>
      <c r="R177" s="36">
        <v>92.4</v>
      </c>
      <c r="S177" s="36">
        <v>196</v>
      </c>
      <c r="T177" s="36">
        <v>132</v>
      </c>
      <c r="U177" s="36">
        <v>107</v>
      </c>
      <c r="V177" s="36" t="s">
        <v>194</v>
      </c>
      <c r="W177" s="36" t="s">
        <v>194</v>
      </c>
      <c r="X177" s="36" t="s">
        <v>194</v>
      </c>
      <c r="Y177" s="36">
        <v>93.8</v>
      </c>
    </row>
  </sheetData>
  <sortState ref="A6:S177">
    <sortCondition ref="B6:B177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2"/>
  <sheetViews>
    <sheetView workbookViewId="0">
      <selection activeCell="J189" sqref="J189"/>
    </sheetView>
  </sheetViews>
  <sheetFormatPr defaultRowHeight="15"/>
  <cols>
    <col min="2" max="2" width="7.140625" bestFit="1" customWidth="1"/>
    <col min="3" max="13" width="7.140625" style="534" customWidth="1"/>
  </cols>
  <sheetData>
    <row r="1" spans="1:30" s="21" customFormat="1">
      <c r="A1" s="12" t="s">
        <v>407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30" s="21" customFormat="1">
      <c r="A2" s="1" t="s">
        <v>408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</row>
    <row r="3" spans="1:30" s="21" customFormat="1">
      <c r="A3" s="14" t="s">
        <v>406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</row>
    <row r="4" spans="1:30" s="21" customFormat="1"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</row>
    <row r="5" spans="1:30" s="7" customFormat="1">
      <c r="A5" s="22" t="s">
        <v>191</v>
      </c>
      <c r="B5" s="22" t="s">
        <v>192</v>
      </c>
      <c r="C5" s="22">
        <v>1980</v>
      </c>
      <c r="D5" s="22">
        <v>1981</v>
      </c>
      <c r="E5" s="22">
        <v>1982</v>
      </c>
      <c r="F5" s="22">
        <v>1983</v>
      </c>
      <c r="G5" s="22">
        <v>1984</v>
      </c>
      <c r="H5" s="22">
        <v>1985</v>
      </c>
      <c r="I5" s="22">
        <v>1986</v>
      </c>
      <c r="J5" s="22">
        <v>1987</v>
      </c>
      <c r="K5" s="22">
        <v>1988</v>
      </c>
      <c r="L5" s="22">
        <v>1989</v>
      </c>
      <c r="M5" s="22">
        <v>1990</v>
      </c>
      <c r="N5" s="11">
        <v>1991</v>
      </c>
      <c r="O5" s="11">
        <v>1992</v>
      </c>
      <c r="P5" s="11">
        <v>1993</v>
      </c>
      <c r="Q5" s="11">
        <v>1994</v>
      </c>
      <c r="R5" s="11">
        <v>1995</v>
      </c>
      <c r="S5" s="11">
        <v>1996</v>
      </c>
      <c r="T5" s="11">
        <v>1997</v>
      </c>
      <c r="U5" s="11">
        <v>1998</v>
      </c>
      <c r="V5" s="11">
        <v>1999</v>
      </c>
      <c r="W5" s="11">
        <v>2000</v>
      </c>
      <c r="X5" s="11">
        <v>2001</v>
      </c>
      <c r="Y5" s="11">
        <v>2002</v>
      </c>
      <c r="Z5" s="11">
        <v>2003</v>
      </c>
      <c r="AA5" s="11">
        <v>2004</v>
      </c>
      <c r="AB5" s="11">
        <v>2005</v>
      </c>
      <c r="AC5" s="10">
        <v>2006</v>
      </c>
      <c r="AD5" s="11">
        <v>2007</v>
      </c>
    </row>
    <row r="6" spans="1:30">
      <c r="A6" s="22">
        <v>700</v>
      </c>
      <c r="B6" s="22" t="s">
        <v>148</v>
      </c>
      <c r="C6" s="534">
        <v>0.64324429999999999</v>
      </c>
      <c r="D6" s="534">
        <v>0.64164460000000001</v>
      </c>
      <c r="E6" s="534">
        <v>0.63905440000000002</v>
      </c>
      <c r="F6" s="534">
        <v>0.6375535</v>
      </c>
      <c r="G6" s="534">
        <v>0.63560220000000001</v>
      </c>
      <c r="H6" s="534">
        <v>0.63357660000000005</v>
      </c>
      <c r="I6" s="534">
        <v>0.63178840000000003</v>
      </c>
      <c r="J6" s="534">
        <v>0.62991010000000003</v>
      </c>
      <c r="K6" s="534">
        <v>0.62803240000000005</v>
      </c>
      <c r="L6" s="534">
        <v>0.62618479999999999</v>
      </c>
      <c r="M6" s="534">
        <v>0.61630799999999997</v>
      </c>
      <c r="N6" s="7">
        <v>0.60576640000000004</v>
      </c>
      <c r="O6" s="7">
        <v>0.59552280000000002</v>
      </c>
      <c r="P6" s="7">
        <v>0.59318870000000001</v>
      </c>
      <c r="Q6" s="7">
        <v>0.56852290000000005</v>
      </c>
      <c r="R6" s="7">
        <v>0.56688899999999998</v>
      </c>
      <c r="S6" s="7">
        <v>0.57971649999999997</v>
      </c>
      <c r="T6" s="7">
        <v>0.54577520000000002</v>
      </c>
      <c r="U6" s="7">
        <v>0.52546119999999996</v>
      </c>
      <c r="V6" s="7">
        <v>0.50095829999999997</v>
      </c>
      <c r="W6" s="7">
        <v>0.50238499999999997</v>
      </c>
      <c r="X6" s="7">
        <v>0.49218509999999999</v>
      </c>
      <c r="Y6" s="7">
        <v>0.48745169999999999</v>
      </c>
      <c r="Z6" s="8">
        <v>0.54208330000000005</v>
      </c>
      <c r="AA6" s="8">
        <v>0.59393600000000002</v>
      </c>
      <c r="AB6" s="8">
        <v>0.54070589999999996</v>
      </c>
      <c r="AC6" s="8">
        <v>0.4552948</v>
      </c>
      <c r="AD6" s="8">
        <v>0.5643783</v>
      </c>
    </row>
    <row r="7" spans="1:30">
      <c r="A7" s="22">
        <v>339</v>
      </c>
      <c r="B7" s="22" t="s">
        <v>56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7"/>
      <c r="O7" s="7"/>
      <c r="P7" s="7"/>
      <c r="Q7" s="7"/>
      <c r="R7" s="7">
        <v>0.80094690000000002</v>
      </c>
      <c r="S7" s="7">
        <v>0.49268630000000002</v>
      </c>
      <c r="T7" s="7">
        <v>0.57506009999999996</v>
      </c>
      <c r="U7" s="7">
        <v>1.071637</v>
      </c>
      <c r="V7" s="7">
        <v>0.97028890000000001</v>
      </c>
      <c r="W7" s="7">
        <v>0.96477800000000002</v>
      </c>
      <c r="X7" s="7">
        <v>1.288241</v>
      </c>
      <c r="Y7" s="7">
        <v>0.90102669999999996</v>
      </c>
      <c r="Z7" s="8">
        <v>0.9575922</v>
      </c>
      <c r="AA7" s="8">
        <v>0.95988309999999999</v>
      </c>
      <c r="AB7" s="19"/>
      <c r="AC7" s="19"/>
      <c r="AD7" s="19"/>
    </row>
    <row r="8" spans="1:30">
      <c r="A8" s="22">
        <v>615</v>
      </c>
      <c r="B8" s="22" t="s">
        <v>129</v>
      </c>
      <c r="C8" s="534">
        <v>2.0917080000000001</v>
      </c>
      <c r="D8" s="534">
        <v>2.3755760000000001</v>
      </c>
      <c r="E8" s="534">
        <v>2.0584660000000001</v>
      </c>
      <c r="F8" s="534">
        <v>2.0100760000000002</v>
      </c>
      <c r="G8" s="534">
        <v>2.3530829999999998</v>
      </c>
      <c r="H8" s="534">
        <v>1.980596</v>
      </c>
      <c r="I8" s="534">
        <v>2.4247610000000002</v>
      </c>
      <c r="J8" s="534">
        <v>2.2920669999999999</v>
      </c>
      <c r="K8" s="534">
        <v>2.0793200000000001</v>
      </c>
      <c r="L8" s="534">
        <v>1.965668</v>
      </c>
      <c r="M8" s="534">
        <v>1.8186230000000001</v>
      </c>
      <c r="N8" s="7">
        <v>2.1372719999999998</v>
      </c>
      <c r="O8" s="7">
        <v>2.0428790000000001</v>
      </c>
      <c r="P8" s="7">
        <v>2.0255130000000001</v>
      </c>
      <c r="Q8" s="7">
        <v>1.8886909999999999</v>
      </c>
      <c r="R8" s="7">
        <v>1.916193</v>
      </c>
      <c r="S8" s="7">
        <v>1.9323669999999999</v>
      </c>
      <c r="T8" s="7">
        <v>1.9865079999999999</v>
      </c>
      <c r="U8" s="7">
        <v>1.6456630000000001</v>
      </c>
      <c r="V8" s="7">
        <v>1.672928</v>
      </c>
      <c r="W8" s="7">
        <v>2.0160990000000001</v>
      </c>
      <c r="X8" s="7">
        <v>1.845594</v>
      </c>
      <c r="Y8" s="7">
        <v>1.8334269999999999</v>
      </c>
      <c r="Z8" s="8">
        <v>2.1201780000000001</v>
      </c>
      <c r="AA8" s="8">
        <v>1.5067379999999999</v>
      </c>
      <c r="AB8" s="20">
        <v>1.7586710000000001</v>
      </c>
      <c r="AC8" s="20">
        <v>1.7620370000000001</v>
      </c>
      <c r="AD8" s="20">
        <v>1.7320960000000001</v>
      </c>
    </row>
    <row r="9" spans="1:30">
      <c r="A9" s="22">
        <v>540</v>
      </c>
      <c r="B9" s="22" t="s">
        <v>114</v>
      </c>
      <c r="C9" s="534">
        <v>3.1140590000000001</v>
      </c>
      <c r="D9" s="534">
        <v>3.5170370000000002</v>
      </c>
      <c r="E9" s="534">
        <v>2.1278769999999998</v>
      </c>
      <c r="F9" s="534">
        <v>2.3431060000000001</v>
      </c>
      <c r="G9" s="534">
        <v>2.8840210000000002</v>
      </c>
      <c r="H9" s="534">
        <v>2.5954820000000001</v>
      </c>
      <c r="I9" s="534">
        <v>2.545884</v>
      </c>
      <c r="J9" s="534">
        <v>1.6598930000000001</v>
      </c>
      <c r="K9" s="534">
        <v>1.7823469999999999</v>
      </c>
      <c r="L9" s="534">
        <v>2.30314</v>
      </c>
      <c r="M9" s="534">
        <v>2.204637</v>
      </c>
      <c r="N9" s="7">
        <v>2.3993570000000002</v>
      </c>
      <c r="O9" s="7">
        <v>1.9698100000000001</v>
      </c>
      <c r="P9" s="7">
        <v>1.981919</v>
      </c>
      <c r="Q9" s="7">
        <v>1.678922</v>
      </c>
      <c r="R9" s="7">
        <v>1.2109019999999999</v>
      </c>
      <c r="S9" s="7">
        <v>1.8635330000000001</v>
      </c>
      <c r="T9" s="7">
        <v>1.659659</v>
      </c>
      <c r="U9" s="7">
        <v>1.3192459999999999</v>
      </c>
      <c r="V9" s="7">
        <v>1.7751920000000001</v>
      </c>
      <c r="W9" s="7">
        <v>1.783981</v>
      </c>
      <c r="X9" s="7">
        <v>1.660153</v>
      </c>
      <c r="Y9" s="7">
        <v>1.7957369999999999</v>
      </c>
      <c r="Z9" s="8">
        <v>1.762089</v>
      </c>
      <c r="AA9" s="8">
        <v>1.794225</v>
      </c>
      <c r="AB9" s="8">
        <v>1.731538</v>
      </c>
      <c r="AC9" s="8">
        <v>1.839809</v>
      </c>
      <c r="AD9" s="8">
        <v>1.84646</v>
      </c>
    </row>
    <row r="10" spans="1:30">
      <c r="A10" s="22">
        <v>58</v>
      </c>
      <c r="B10" s="22" t="s">
        <v>13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19"/>
      <c r="AA10" s="19"/>
      <c r="AB10" s="19"/>
      <c r="AC10" s="19"/>
      <c r="AD10" s="19"/>
    </row>
    <row r="11" spans="1:30">
      <c r="A11" s="22">
        <v>160</v>
      </c>
      <c r="B11" s="22" t="s">
        <v>33</v>
      </c>
      <c r="C11" s="534">
        <v>0.72911380000000003</v>
      </c>
      <c r="D11" s="534">
        <v>0.6122417</v>
      </c>
      <c r="E11" s="534">
        <v>0.61334820000000001</v>
      </c>
      <c r="F11" s="534">
        <v>0.54246280000000002</v>
      </c>
      <c r="G11" s="534">
        <v>0.59302779999999999</v>
      </c>
      <c r="H11" s="534">
        <v>0.59447839999999996</v>
      </c>
      <c r="I11" s="534">
        <v>0.64613310000000002</v>
      </c>
      <c r="J11" s="534">
        <v>0.61604519999999996</v>
      </c>
      <c r="K11" s="534">
        <v>0.2683991</v>
      </c>
      <c r="L11" s="534">
        <v>0.36287580000000003</v>
      </c>
      <c r="M11" s="534">
        <v>0.37190119999999999</v>
      </c>
      <c r="N11" s="7">
        <v>0.41459069999999998</v>
      </c>
      <c r="O11" s="7">
        <v>0.51868899999999996</v>
      </c>
      <c r="P11" s="7">
        <v>0.81643929999999998</v>
      </c>
      <c r="Q11" s="7">
        <v>0.83665219999999996</v>
      </c>
      <c r="R11" s="7">
        <v>0.83192630000000001</v>
      </c>
      <c r="S11" s="7">
        <v>0.93604710000000002</v>
      </c>
      <c r="T11" s="7">
        <v>1.036178</v>
      </c>
      <c r="U11" s="7">
        <v>1.1012150000000001</v>
      </c>
      <c r="V11" s="7">
        <v>1.0896110000000001</v>
      </c>
      <c r="W11" s="7">
        <v>1.1341559999999999</v>
      </c>
      <c r="X11" s="7">
        <v>1.171384</v>
      </c>
      <c r="Y11" s="7">
        <v>0.95479320000000001</v>
      </c>
      <c r="Z11" s="8">
        <v>0.98372530000000002</v>
      </c>
      <c r="AA11" s="8">
        <v>1.2283980000000001</v>
      </c>
      <c r="AB11" s="8">
        <v>1.48123</v>
      </c>
      <c r="AC11" s="8">
        <v>1.567747</v>
      </c>
      <c r="AD11" s="8">
        <v>1.4865139999999999</v>
      </c>
    </row>
    <row r="12" spans="1:30">
      <c r="A12" s="22">
        <v>371</v>
      </c>
      <c r="B12" s="22" t="s">
        <v>73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0">
        <v>0.77968000000000004</v>
      </c>
      <c r="AA12" s="20">
        <v>0.80388720000000002</v>
      </c>
      <c r="AB12" s="20">
        <v>0.81563439999999998</v>
      </c>
      <c r="AC12" s="20">
        <v>0.87785950000000001</v>
      </c>
      <c r="AD12" s="20">
        <v>0.90870629999999997</v>
      </c>
    </row>
    <row r="13" spans="1:30">
      <c r="A13" s="22">
        <v>900</v>
      </c>
      <c r="B13" s="22" t="s">
        <v>177</v>
      </c>
      <c r="C13" s="534">
        <v>0.83405830000000003</v>
      </c>
      <c r="D13" s="534">
        <v>0.90806739999999997</v>
      </c>
      <c r="E13" s="534">
        <v>0.93093910000000002</v>
      </c>
      <c r="F13" s="534">
        <v>0.89143130000000004</v>
      </c>
      <c r="G13" s="534">
        <v>0.80416940000000003</v>
      </c>
      <c r="H13" s="534">
        <v>0.90029689999999996</v>
      </c>
      <c r="I13" s="534">
        <v>0.93366749999999998</v>
      </c>
      <c r="J13" s="534">
        <v>0.96009370000000005</v>
      </c>
      <c r="K13" s="534">
        <v>0.98897930000000001</v>
      </c>
      <c r="L13" s="534">
        <v>0.98400279999999996</v>
      </c>
      <c r="M13" s="534">
        <v>0.98418680000000003</v>
      </c>
      <c r="N13" s="7">
        <v>0.93451960000000001</v>
      </c>
      <c r="O13" s="7">
        <v>0.75356809999999996</v>
      </c>
      <c r="P13" s="7">
        <v>0.67985209999999996</v>
      </c>
      <c r="Q13" s="7">
        <v>0.66356839999999995</v>
      </c>
      <c r="R13" s="7">
        <v>0.73591969999999995</v>
      </c>
      <c r="S13" s="7">
        <v>0.73548939999999996</v>
      </c>
      <c r="T13" s="7">
        <v>0.74060970000000004</v>
      </c>
      <c r="U13" s="7">
        <v>0.87142059999999999</v>
      </c>
      <c r="V13" s="7">
        <v>0.79422219999999999</v>
      </c>
      <c r="W13" s="7">
        <v>0.82439899999999999</v>
      </c>
      <c r="X13" s="7">
        <v>0.92902479999999998</v>
      </c>
      <c r="Y13" s="7">
        <v>0.86009440000000004</v>
      </c>
      <c r="Z13" s="8">
        <v>0.90062529999999996</v>
      </c>
      <c r="AA13" s="8">
        <v>0.87615050000000005</v>
      </c>
      <c r="AB13" s="8">
        <v>0.89826459999999997</v>
      </c>
      <c r="AC13" s="8">
        <v>0.91639170000000003</v>
      </c>
      <c r="AD13" s="8">
        <v>0.8628498</v>
      </c>
    </row>
    <row r="14" spans="1:30">
      <c r="A14" s="22">
        <v>305</v>
      </c>
      <c r="B14" s="22" t="s">
        <v>49</v>
      </c>
      <c r="C14" s="534">
        <v>0.77600860000000005</v>
      </c>
      <c r="D14" s="534">
        <v>0.78873979999999999</v>
      </c>
      <c r="E14" s="534">
        <v>0.71993609999999997</v>
      </c>
      <c r="F14" s="534">
        <v>0.69732459999999996</v>
      </c>
      <c r="G14" s="534">
        <v>0.77720670000000003</v>
      </c>
      <c r="H14" s="534">
        <v>0.72329399999999999</v>
      </c>
      <c r="I14" s="534">
        <v>0.72190160000000003</v>
      </c>
      <c r="J14" s="534">
        <v>0.69160010000000005</v>
      </c>
      <c r="K14" s="534">
        <v>0.78069390000000005</v>
      </c>
      <c r="L14" s="534">
        <v>0.75348579999999998</v>
      </c>
      <c r="M14" s="534">
        <v>0.6213398</v>
      </c>
      <c r="N14" s="7">
        <v>0.64124749999999997</v>
      </c>
      <c r="O14" s="7">
        <v>0.68357840000000003</v>
      </c>
      <c r="P14" s="7">
        <v>0.62529950000000001</v>
      </c>
      <c r="Q14" s="7">
        <v>0.57941980000000004</v>
      </c>
      <c r="R14" s="7">
        <v>1.0524</v>
      </c>
      <c r="S14" s="7">
        <v>1.0821879999999999</v>
      </c>
      <c r="T14" s="7">
        <v>1.0056400000000001</v>
      </c>
      <c r="U14" s="7">
        <v>1.0628649999999999</v>
      </c>
      <c r="V14" s="7">
        <v>1.025272</v>
      </c>
      <c r="W14" s="7">
        <v>1.0066759999999999</v>
      </c>
      <c r="X14" s="7">
        <v>1.1095619999999999</v>
      </c>
      <c r="Y14" s="7">
        <v>1.1012630000000001</v>
      </c>
      <c r="Z14" s="8">
        <v>1.058789</v>
      </c>
      <c r="AA14" s="8">
        <v>1.125766</v>
      </c>
      <c r="AB14" s="8">
        <v>1.087575</v>
      </c>
      <c r="AC14" s="8">
        <v>1.084803</v>
      </c>
      <c r="AD14" s="8">
        <v>1.016724</v>
      </c>
    </row>
    <row r="15" spans="1:30">
      <c r="A15" s="22">
        <v>373</v>
      </c>
      <c r="B15" s="22" t="s">
        <v>75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7"/>
      <c r="O15" s="7"/>
      <c r="P15" s="7"/>
      <c r="Q15" s="7"/>
      <c r="R15" s="7"/>
      <c r="S15" s="7">
        <v>0.47944530000000002</v>
      </c>
      <c r="T15" s="7">
        <v>0.53310020000000002</v>
      </c>
      <c r="U15" s="7">
        <v>0.64889149999999995</v>
      </c>
      <c r="V15" s="7">
        <v>0.64507409999999998</v>
      </c>
      <c r="W15" s="7"/>
      <c r="X15" s="7"/>
      <c r="Y15" s="7"/>
      <c r="Z15" s="7"/>
      <c r="AA15" s="7"/>
      <c r="AB15" s="7"/>
      <c r="AC15" s="7"/>
      <c r="AD15" s="7"/>
    </row>
    <row r="16" spans="1:30">
      <c r="A16" s="22">
        <v>31</v>
      </c>
      <c r="B16" s="22" t="s">
        <v>2</v>
      </c>
      <c r="C16" s="534">
        <v>1.389451</v>
      </c>
      <c r="D16" s="534">
        <v>1.1828650000000001</v>
      </c>
      <c r="E16" s="534">
        <v>1.2318180000000001</v>
      </c>
      <c r="F16" s="534">
        <v>1.502351</v>
      </c>
      <c r="G16" s="534">
        <v>1.6136760000000001</v>
      </c>
      <c r="H16" s="534">
        <v>1.5979399999999999</v>
      </c>
      <c r="I16" s="534">
        <v>1.5169919999999999</v>
      </c>
      <c r="J16" s="534">
        <v>1.3759589999999999</v>
      </c>
      <c r="K16" s="534">
        <v>1.306486</v>
      </c>
      <c r="L16" s="534">
        <v>1.1764920000000001</v>
      </c>
      <c r="M16" s="534">
        <v>1.219508</v>
      </c>
      <c r="N16" s="7">
        <v>1.151518</v>
      </c>
      <c r="O16" s="7">
        <v>1.2504999999999999</v>
      </c>
      <c r="P16" s="7">
        <v>1.18154</v>
      </c>
      <c r="Q16" s="7">
        <v>1.327958</v>
      </c>
      <c r="R16" s="7">
        <v>1.3993469999999999</v>
      </c>
      <c r="S16" s="7">
        <v>1.31494</v>
      </c>
      <c r="T16" s="7">
        <v>1.3296809999999999</v>
      </c>
      <c r="U16" s="7">
        <v>1.296146</v>
      </c>
      <c r="V16" s="7">
        <v>1.494853</v>
      </c>
      <c r="W16" s="7">
        <v>1.3560019999999999</v>
      </c>
      <c r="X16" s="7">
        <v>1.269682</v>
      </c>
      <c r="Y16" s="7">
        <v>1.115445</v>
      </c>
      <c r="Z16" s="8">
        <v>1.124104</v>
      </c>
      <c r="AA16" s="8">
        <v>1.141114</v>
      </c>
      <c r="AB16" s="8">
        <v>1.297347</v>
      </c>
      <c r="AC16" s="8">
        <v>1.2907930000000001</v>
      </c>
      <c r="AD16" s="8">
        <v>1.2688550000000001</v>
      </c>
    </row>
    <row r="17" spans="1:30">
      <c r="A17" s="22">
        <v>692</v>
      </c>
      <c r="B17" s="22" t="s">
        <v>144</v>
      </c>
      <c r="C17" s="534">
        <v>0.1882548</v>
      </c>
      <c r="D17" s="534">
        <v>0.19616980000000001</v>
      </c>
      <c r="E17" s="534">
        <v>0.23351430000000001</v>
      </c>
      <c r="F17" s="534">
        <v>0.28319119999999998</v>
      </c>
      <c r="G17" s="534">
        <v>0.33224160000000003</v>
      </c>
      <c r="H17" s="534">
        <v>0.37106070000000002</v>
      </c>
      <c r="I17" s="534">
        <v>0.40462120000000001</v>
      </c>
      <c r="J17" s="534">
        <v>0.19189390000000001</v>
      </c>
      <c r="K17" s="534">
        <v>0.19287280000000001</v>
      </c>
      <c r="L17" s="534">
        <v>0.23361299999999999</v>
      </c>
      <c r="M17" s="534">
        <v>8.2966200000000004E-2</v>
      </c>
      <c r="N17" s="7">
        <v>4.3213500000000002E-2</v>
      </c>
      <c r="O17" s="7">
        <v>8.6645200000000006E-2</v>
      </c>
      <c r="P17" s="7">
        <v>3.0303699999999999E-2</v>
      </c>
      <c r="Q17" s="7">
        <v>9.4525999999999999E-2</v>
      </c>
      <c r="R17" s="7">
        <v>1.5325E-2</v>
      </c>
      <c r="S17" s="7">
        <v>0.1163927</v>
      </c>
      <c r="T17" s="7">
        <v>0.1989013</v>
      </c>
      <c r="U17" s="7">
        <v>0.14883440000000001</v>
      </c>
      <c r="V17" s="7">
        <v>0.101137</v>
      </c>
      <c r="W17" s="7">
        <v>0.52509159999999999</v>
      </c>
      <c r="X17" s="7">
        <v>0.51015440000000001</v>
      </c>
      <c r="Y17" s="7">
        <v>0.55831379999999997</v>
      </c>
      <c r="Z17" s="8">
        <v>0.47085949999999999</v>
      </c>
      <c r="AA17" s="8">
        <v>0.32385059999999999</v>
      </c>
      <c r="AB17" s="8">
        <v>0.17769599999999999</v>
      </c>
      <c r="AC17" s="8">
        <v>0.2896204</v>
      </c>
      <c r="AD17" s="8">
        <v>0.218831</v>
      </c>
    </row>
    <row r="18" spans="1:30">
      <c r="A18" s="22">
        <v>771</v>
      </c>
      <c r="B18" s="22" t="s">
        <v>163</v>
      </c>
      <c r="C18" s="534">
        <v>0.65501149999999997</v>
      </c>
      <c r="D18" s="534">
        <v>0.69160299999999997</v>
      </c>
      <c r="E18" s="534">
        <v>0.62838349999999998</v>
      </c>
      <c r="F18" s="534">
        <v>0.6565337</v>
      </c>
      <c r="G18" s="534">
        <v>0.50351999999999997</v>
      </c>
      <c r="H18" s="534">
        <v>0.65035069999999995</v>
      </c>
      <c r="I18" s="534">
        <v>0.57794060000000003</v>
      </c>
      <c r="J18" s="534">
        <v>0.57998870000000002</v>
      </c>
      <c r="K18" s="534">
        <v>0.59000059999999999</v>
      </c>
      <c r="L18" s="534">
        <v>0.7079664</v>
      </c>
      <c r="M18" s="534">
        <v>0.68558019999999997</v>
      </c>
      <c r="N18" s="7">
        <v>0.69685969999999997</v>
      </c>
      <c r="O18" s="7">
        <v>0.56026290000000001</v>
      </c>
      <c r="P18" s="7">
        <v>0.58274999999999999</v>
      </c>
      <c r="Q18" s="7">
        <v>0.56678810000000002</v>
      </c>
      <c r="R18" s="7">
        <v>0.58019359999999998</v>
      </c>
      <c r="S18" s="7">
        <v>0.6301641</v>
      </c>
      <c r="T18" s="7">
        <v>0.56176599999999999</v>
      </c>
      <c r="U18" s="7">
        <v>0.52980939999999999</v>
      </c>
      <c r="V18" s="7">
        <v>0.52527900000000005</v>
      </c>
      <c r="W18" s="7">
        <v>0.54221269999999999</v>
      </c>
      <c r="X18" s="7">
        <v>0.56635899999999995</v>
      </c>
      <c r="Y18" s="7">
        <v>0.57273499999999999</v>
      </c>
      <c r="Z18" s="8">
        <v>0.59532580000000002</v>
      </c>
      <c r="AA18" s="8">
        <v>0.59706329999999996</v>
      </c>
      <c r="AB18" s="8">
        <v>0.63232449999999996</v>
      </c>
      <c r="AC18" s="8">
        <v>0.60701269999999996</v>
      </c>
      <c r="AD18" s="8">
        <v>0.57930280000000001</v>
      </c>
    </row>
    <row r="19" spans="1:30">
      <c r="A19" s="22">
        <v>53</v>
      </c>
      <c r="B19" s="22" t="s">
        <v>8</v>
      </c>
      <c r="C19" s="534">
        <v>1.4190670000000001</v>
      </c>
      <c r="D19" s="534">
        <v>1.419764</v>
      </c>
      <c r="E19" s="534">
        <v>1.4252609999999999</v>
      </c>
      <c r="F19" s="534">
        <v>1.4655320000000001</v>
      </c>
      <c r="G19" s="534">
        <v>1.3939170000000001</v>
      </c>
      <c r="H19" s="534">
        <v>1.5711329999999999</v>
      </c>
      <c r="I19" s="534">
        <v>1.5690900000000001</v>
      </c>
      <c r="J19" s="534">
        <v>1.629532</v>
      </c>
      <c r="K19" s="534">
        <v>1.799701</v>
      </c>
      <c r="L19" s="534">
        <v>1.8128489999999999</v>
      </c>
      <c r="M19" s="534">
        <v>1.8157220000000001</v>
      </c>
      <c r="N19" s="7">
        <v>1.8278779999999999</v>
      </c>
      <c r="O19" s="7">
        <v>1.796861</v>
      </c>
      <c r="P19" s="7">
        <v>1.778376</v>
      </c>
      <c r="Q19" s="7">
        <v>1.740958</v>
      </c>
      <c r="R19" s="7">
        <v>1.7319169999999999</v>
      </c>
      <c r="S19" s="7">
        <v>1.4726699999999999</v>
      </c>
      <c r="T19" s="7">
        <v>1.696868</v>
      </c>
      <c r="U19" s="7">
        <v>1.7266820000000001</v>
      </c>
      <c r="V19" s="7">
        <v>1.7423070000000001</v>
      </c>
      <c r="W19" s="7">
        <v>1.750869</v>
      </c>
      <c r="X19" s="7">
        <v>1.7259679999999999</v>
      </c>
      <c r="Y19" s="7">
        <v>1.733379</v>
      </c>
      <c r="Z19" s="8">
        <v>1.6237029999999999</v>
      </c>
      <c r="AA19" s="8">
        <v>1.6787780000000001</v>
      </c>
      <c r="AB19" s="8">
        <v>1.719838</v>
      </c>
      <c r="AC19" s="8">
        <v>1.657395</v>
      </c>
      <c r="AD19" s="8">
        <v>1.608649</v>
      </c>
    </row>
    <row r="20" spans="1:30">
      <c r="A20" s="22">
        <v>370</v>
      </c>
      <c r="B20" s="22" t="s">
        <v>72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7"/>
      <c r="O20" s="7">
        <v>0.65602740000000004</v>
      </c>
      <c r="P20" s="7">
        <v>0.98849390000000004</v>
      </c>
      <c r="Q20" s="7">
        <v>0.98033429999999999</v>
      </c>
      <c r="R20" s="7">
        <v>0.68233600000000005</v>
      </c>
      <c r="S20" s="7">
        <v>0.6133653</v>
      </c>
      <c r="T20" s="7">
        <v>0.68010590000000004</v>
      </c>
      <c r="U20" s="7">
        <v>0.44062050000000003</v>
      </c>
      <c r="V20" s="7">
        <v>0.4201434</v>
      </c>
      <c r="W20" s="7">
        <v>0.38674239999999999</v>
      </c>
      <c r="X20" s="7">
        <v>0.28863040000000001</v>
      </c>
      <c r="Y20" s="7">
        <v>0.19847870000000001</v>
      </c>
      <c r="Z20" s="8">
        <v>0.42055179999999998</v>
      </c>
      <c r="AA20" s="8">
        <v>0.44750649999999997</v>
      </c>
      <c r="AB20" s="8">
        <v>0.538767</v>
      </c>
      <c r="AC20" s="8">
        <v>0.63805400000000001</v>
      </c>
      <c r="AD20" s="8">
        <v>0.6728691</v>
      </c>
    </row>
    <row r="21" spans="1:30">
      <c r="A21" s="22">
        <v>211</v>
      </c>
      <c r="B21" s="22" t="s">
        <v>38</v>
      </c>
      <c r="C21" s="534">
        <v>1.4173089999999999</v>
      </c>
      <c r="D21" s="534">
        <v>1.3992279999999999</v>
      </c>
      <c r="E21" s="534">
        <v>1.4220919999999999</v>
      </c>
      <c r="F21" s="534">
        <v>1.3628990000000001</v>
      </c>
      <c r="G21" s="534">
        <v>1.3371690000000001</v>
      </c>
      <c r="H21" s="534">
        <v>1.3297730000000001</v>
      </c>
      <c r="I21" s="534">
        <v>1.3274459999999999</v>
      </c>
      <c r="J21" s="534">
        <v>1.331313</v>
      </c>
      <c r="K21" s="534">
        <v>1.2760290000000001</v>
      </c>
      <c r="L21" s="534">
        <v>1.207568</v>
      </c>
      <c r="M21" s="534">
        <v>1.240602</v>
      </c>
      <c r="N21" s="7">
        <v>1.2251259999999999</v>
      </c>
      <c r="O21" s="7">
        <v>1.2264969999999999</v>
      </c>
      <c r="P21" s="7">
        <v>1.267379</v>
      </c>
      <c r="Q21" s="7">
        <v>1.324112</v>
      </c>
      <c r="R21" s="7">
        <v>1.2000999999999999</v>
      </c>
      <c r="S21" s="7">
        <v>1.2164060000000001</v>
      </c>
      <c r="T21" s="7">
        <v>1.240529</v>
      </c>
      <c r="U21" s="7">
        <v>1.2612699999999999</v>
      </c>
      <c r="V21" s="7">
        <v>1.255628</v>
      </c>
      <c r="W21" s="7">
        <v>1.2355449999999999</v>
      </c>
      <c r="X21" s="7">
        <v>1.22929</v>
      </c>
      <c r="Y21" s="7">
        <v>1.186215</v>
      </c>
      <c r="Z21" s="8">
        <v>1.2452620000000001</v>
      </c>
      <c r="AA21" s="8">
        <v>1.170169</v>
      </c>
      <c r="AB21" s="8">
        <v>1.1849700000000001</v>
      </c>
      <c r="AC21" s="8">
        <v>1.150101</v>
      </c>
      <c r="AD21" s="8">
        <v>1.223525</v>
      </c>
    </row>
    <row r="22" spans="1:30">
      <c r="A22" s="22">
        <v>80</v>
      </c>
      <c r="B22" s="22" t="s">
        <v>16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>
        <v>1.3304199999999999</v>
      </c>
      <c r="N22" s="7">
        <v>1.293906</v>
      </c>
      <c r="O22" s="7">
        <v>1.174982</v>
      </c>
      <c r="P22" s="7">
        <v>1.243171</v>
      </c>
      <c r="Q22" s="7">
        <v>1.2835270000000001</v>
      </c>
      <c r="R22" s="7">
        <v>1.2137549999999999</v>
      </c>
      <c r="S22" s="7">
        <v>1.2534149999999999</v>
      </c>
      <c r="T22" s="7">
        <v>1.213781</v>
      </c>
      <c r="U22" s="7">
        <v>1.1796169999999999</v>
      </c>
      <c r="V22" s="7">
        <v>1.189419</v>
      </c>
      <c r="W22" s="7">
        <v>1.1924129999999999</v>
      </c>
      <c r="X22" s="7">
        <v>1.1690659999999999</v>
      </c>
      <c r="Y22" s="7">
        <v>1.153305</v>
      </c>
      <c r="Z22" s="8">
        <v>1.0793809999999999</v>
      </c>
      <c r="AA22" s="8">
        <v>1.1416550000000001</v>
      </c>
      <c r="AB22" s="8">
        <v>1.185602</v>
      </c>
      <c r="AC22" s="8">
        <v>1.1423939999999999</v>
      </c>
      <c r="AD22" s="8">
        <v>1.1536690000000001</v>
      </c>
    </row>
    <row r="23" spans="1:30">
      <c r="A23" s="22">
        <v>434</v>
      </c>
      <c r="B23" s="22" t="s">
        <v>88</v>
      </c>
      <c r="C23" s="534">
        <v>0.73649350000000002</v>
      </c>
      <c r="D23" s="534">
        <v>0.75420860000000001</v>
      </c>
      <c r="E23" s="534">
        <v>0.73646959999999995</v>
      </c>
      <c r="F23" s="534">
        <v>0.83144969999999996</v>
      </c>
      <c r="G23" s="534">
        <v>0.64025529999999997</v>
      </c>
      <c r="H23" s="534">
        <v>0.5600079</v>
      </c>
      <c r="I23" s="534">
        <v>0.9637464</v>
      </c>
      <c r="J23" s="534">
        <v>0.85386569999999995</v>
      </c>
      <c r="K23" s="534">
        <v>0.56317850000000003</v>
      </c>
      <c r="L23" s="534">
        <v>0.7763968</v>
      </c>
      <c r="M23" s="534">
        <v>0.71523510000000001</v>
      </c>
      <c r="N23" s="7">
        <v>0.62543170000000003</v>
      </c>
      <c r="O23" s="7">
        <v>1.8143899999999999</v>
      </c>
      <c r="P23" s="7">
        <v>0.71505450000000004</v>
      </c>
      <c r="Q23" s="7">
        <v>0.72498079999999998</v>
      </c>
      <c r="R23" s="7">
        <v>0.83658339999999998</v>
      </c>
      <c r="S23" s="7">
        <v>0.83687350000000005</v>
      </c>
      <c r="T23" s="7">
        <v>0.8402712</v>
      </c>
      <c r="U23" s="7">
        <v>0.90699540000000001</v>
      </c>
      <c r="V23" s="7">
        <v>1.0396300000000001</v>
      </c>
      <c r="W23" s="7">
        <v>1.225846</v>
      </c>
      <c r="X23" s="7">
        <v>1.097337</v>
      </c>
      <c r="Y23" s="7">
        <v>1.0747089999999999</v>
      </c>
      <c r="Z23" s="8">
        <v>1.0448820000000001</v>
      </c>
      <c r="AA23" s="8">
        <v>1.1160749999999999</v>
      </c>
      <c r="AB23" s="8">
        <v>1.040392</v>
      </c>
      <c r="AC23" s="8">
        <v>1.1705810000000001</v>
      </c>
      <c r="AD23" s="8">
        <v>1.29528</v>
      </c>
    </row>
    <row r="24" spans="1:30">
      <c r="A24" s="22">
        <v>760</v>
      </c>
      <c r="B24" s="22" t="s">
        <v>161</v>
      </c>
      <c r="C24" s="534">
        <v>0.3071699</v>
      </c>
      <c r="D24" s="534">
        <v>0.3041393</v>
      </c>
      <c r="E24" s="534">
        <v>0.37995469999999998</v>
      </c>
      <c r="F24" s="534">
        <v>0.45671840000000002</v>
      </c>
      <c r="G24" s="534">
        <v>0.53707769999999999</v>
      </c>
      <c r="H24" s="534">
        <v>0.4660397</v>
      </c>
      <c r="I24" s="534">
        <v>0.49681550000000002</v>
      </c>
      <c r="J24" s="534">
        <v>0.64650490000000005</v>
      </c>
      <c r="K24" s="534">
        <v>0.41864249999999997</v>
      </c>
      <c r="L24" s="534">
        <v>0.36623889999999998</v>
      </c>
      <c r="M24" s="534">
        <v>0.18456</v>
      </c>
      <c r="N24" s="7">
        <v>0.19053410000000001</v>
      </c>
      <c r="O24" s="7">
        <v>0.1845415</v>
      </c>
      <c r="P24" s="7">
        <v>0.41794100000000001</v>
      </c>
      <c r="Q24" s="7">
        <v>0.40057100000000001</v>
      </c>
      <c r="R24" s="7">
        <v>0.42884070000000002</v>
      </c>
      <c r="S24" s="7">
        <v>0.4954711</v>
      </c>
      <c r="T24" s="7">
        <v>0.42563859999999998</v>
      </c>
      <c r="U24" s="7">
        <v>0.52944530000000001</v>
      </c>
      <c r="V24" s="7">
        <v>0.46649210000000002</v>
      </c>
      <c r="W24" s="7">
        <v>0.67974080000000003</v>
      </c>
      <c r="X24" s="7">
        <v>0.57697299999999996</v>
      </c>
      <c r="Y24" s="7">
        <v>0.66797910000000005</v>
      </c>
      <c r="Z24" s="20">
        <v>0.67256369999999999</v>
      </c>
      <c r="AA24" s="20">
        <v>0.51208929999999997</v>
      </c>
      <c r="AB24" s="20">
        <v>0.58839980000000003</v>
      </c>
      <c r="AC24" s="20">
        <v>0.60823229999999995</v>
      </c>
      <c r="AD24" s="20">
        <v>0.69211420000000001</v>
      </c>
    </row>
    <row r="25" spans="1:30">
      <c r="A25" s="22">
        <v>145</v>
      </c>
      <c r="B25" s="22" t="s">
        <v>30</v>
      </c>
      <c r="C25" s="534">
        <v>0.42726530000000001</v>
      </c>
      <c r="D25" s="534">
        <v>0.48939440000000001</v>
      </c>
      <c r="E25" s="534">
        <v>0.2068179</v>
      </c>
      <c r="F25" s="534">
        <v>0.20889949999999999</v>
      </c>
      <c r="G25" s="534">
        <v>0.1355314</v>
      </c>
      <c r="H25" s="534">
        <v>0.45891739999999998</v>
      </c>
      <c r="I25" s="534">
        <v>0.3097509</v>
      </c>
      <c r="J25" s="534">
        <v>0.36653289999999999</v>
      </c>
      <c r="K25" s="534">
        <v>0.41642190000000001</v>
      </c>
      <c r="L25" s="534">
        <v>0.39712409999999998</v>
      </c>
      <c r="M25" s="534">
        <v>0.34022829999999998</v>
      </c>
      <c r="N25" s="7">
        <v>0.39146520000000001</v>
      </c>
      <c r="O25" s="7">
        <v>0.52422389999999996</v>
      </c>
      <c r="P25" s="7">
        <v>0.5412766</v>
      </c>
      <c r="Q25" s="7">
        <v>0.52120840000000002</v>
      </c>
      <c r="R25" s="7">
        <v>0.51687229999999995</v>
      </c>
      <c r="S25" s="7">
        <v>0.57303859999999995</v>
      </c>
      <c r="T25" s="7">
        <v>0.58373350000000002</v>
      </c>
      <c r="U25" s="7">
        <v>0.75789240000000002</v>
      </c>
      <c r="V25" s="7">
        <v>0.61052700000000004</v>
      </c>
      <c r="W25" s="7">
        <v>0.36643769999999998</v>
      </c>
      <c r="X25" s="7">
        <v>0.92927360000000003</v>
      </c>
      <c r="Y25" s="7">
        <v>0.97762729999999998</v>
      </c>
      <c r="Z25" s="8">
        <v>0.94884210000000002</v>
      </c>
      <c r="AA25" s="8">
        <v>1.0373140000000001</v>
      </c>
      <c r="AB25" s="8">
        <v>1.162793</v>
      </c>
      <c r="AC25" s="8">
        <v>1.1423080000000001</v>
      </c>
      <c r="AD25" s="8">
        <v>0.97006780000000004</v>
      </c>
    </row>
    <row r="26" spans="1:30">
      <c r="A26" s="22">
        <v>346</v>
      </c>
      <c r="B26" s="22" t="s">
        <v>60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19"/>
      <c r="AA26" s="19"/>
      <c r="AB26" s="19"/>
      <c r="AC26" s="19"/>
      <c r="AD26" s="19"/>
    </row>
    <row r="27" spans="1:30">
      <c r="A27" s="22">
        <v>571</v>
      </c>
      <c r="B27" s="22" t="s">
        <v>122</v>
      </c>
      <c r="C27" s="534">
        <v>0.93770739999999997</v>
      </c>
      <c r="D27" s="534">
        <v>0.9348725</v>
      </c>
      <c r="E27" s="534">
        <v>0.60394979999999998</v>
      </c>
      <c r="F27" s="534">
        <v>0.56758489999999995</v>
      </c>
      <c r="G27" s="534">
        <v>0.5420895</v>
      </c>
      <c r="H27" s="534">
        <v>0.48106710000000003</v>
      </c>
      <c r="I27" s="534">
        <v>0.76441309999999996</v>
      </c>
      <c r="J27" s="534">
        <v>1.527704</v>
      </c>
      <c r="K27" s="534">
        <v>1.573334</v>
      </c>
      <c r="L27" s="534">
        <v>1.2878799999999999</v>
      </c>
      <c r="M27" s="534">
        <v>1.272759</v>
      </c>
      <c r="N27" s="7">
        <v>1.2146939999999999</v>
      </c>
      <c r="O27" s="7">
        <v>1.5319910000000001</v>
      </c>
      <c r="P27" s="7">
        <v>1.470974</v>
      </c>
      <c r="Q27" s="7">
        <v>1.1196710000000001</v>
      </c>
      <c r="R27" s="7">
        <v>0.762042</v>
      </c>
      <c r="S27" s="7">
        <v>0.71254240000000002</v>
      </c>
      <c r="T27" s="7">
        <v>2.190394</v>
      </c>
      <c r="U27" s="7">
        <v>1.4614450000000001</v>
      </c>
      <c r="V27" s="7">
        <v>1.95722</v>
      </c>
      <c r="W27" s="7">
        <v>1.1650769999999999</v>
      </c>
      <c r="X27" s="7">
        <v>0.81506520000000005</v>
      </c>
      <c r="Y27" s="7">
        <v>1.043015</v>
      </c>
      <c r="Z27" s="20">
        <v>1.103728</v>
      </c>
      <c r="AA27" s="20">
        <v>0.83187650000000002</v>
      </c>
      <c r="AB27" s="20">
        <v>0.80018160000000005</v>
      </c>
      <c r="AC27" s="20">
        <v>0.66958700000000004</v>
      </c>
      <c r="AD27" s="20">
        <v>0.58001550000000002</v>
      </c>
    </row>
    <row r="28" spans="1:30">
      <c r="A28" s="22">
        <v>140</v>
      </c>
      <c r="B28" s="22" t="s">
        <v>29</v>
      </c>
      <c r="C28" s="534">
        <v>2.0336669999999999</v>
      </c>
      <c r="D28" s="534">
        <v>1.611656</v>
      </c>
      <c r="E28" s="534">
        <v>1.6942269999999999</v>
      </c>
      <c r="F28" s="534">
        <v>1.6225020000000001</v>
      </c>
      <c r="G28" s="534">
        <v>1.438261</v>
      </c>
      <c r="H28" s="534">
        <v>1.465047</v>
      </c>
      <c r="I28" s="534">
        <v>1.6375980000000001</v>
      </c>
      <c r="J28" s="534">
        <v>1.5047649999999999</v>
      </c>
      <c r="K28" s="534">
        <v>1.3751690000000001</v>
      </c>
      <c r="L28" s="534">
        <v>1.1001989999999999</v>
      </c>
      <c r="M28" s="534">
        <v>1.037709</v>
      </c>
      <c r="N28" s="7">
        <v>0.77571860000000004</v>
      </c>
      <c r="O28" s="7">
        <v>0.74796779999999996</v>
      </c>
      <c r="P28" s="7">
        <v>0.85591209999999995</v>
      </c>
      <c r="Q28" s="7">
        <v>1.068557</v>
      </c>
      <c r="R28" s="7">
        <v>1.424982</v>
      </c>
      <c r="S28" s="7">
        <v>1.4605570000000001</v>
      </c>
      <c r="T28" s="7">
        <v>0.83812520000000001</v>
      </c>
      <c r="U28" s="7">
        <v>0.90742719999999999</v>
      </c>
      <c r="V28" s="7">
        <v>1.0403990000000001</v>
      </c>
      <c r="W28" s="7">
        <v>1.008675</v>
      </c>
      <c r="X28" s="7">
        <v>0.95191610000000004</v>
      </c>
      <c r="Y28" s="7">
        <v>0.89145830000000004</v>
      </c>
      <c r="Z28" s="8">
        <v>0.89277870000000004</v>
      </c>
      <c r="AA28" s="8">
        <v>0.94334359999999995</v>
      </c>
      <c r="AB28" s="8">
        <v>1.086012</v>
      </c>
      <c r="AC28" s="8">
        <v>0.96944209999999997</v>
      </c>
      <c r="AD28" s="8">
        <v>0.97842839999999998</v>
      </c>
    </row>
    <row r="29" spans="1:30">
      <c r="A29" s="22">
        <v>835</v>
      </c>
      <c r="B29" s="22" t="s">
        <v>174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19"/>
      <c r="AA29" s="19"/>
      <c r="AB29" s="19"/>
      <c r="AC29" s="19"/>
      <c r="AD29" s="19"/>
    </row>
    <row r="30" spans="1:30">
      <c r="A30" s="22">
        <v>355</v>
      </c>
      <c r="B30" s="22" t="s">
        <v>64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>
        <v>2.079113</v>
      </c>
      <c r="N30" s="7">
        <v>1.3718030000000001</v>
      </c>
      <c r="O30" s="7">
        <v>1.163124</v>
      </c>
      <c r="P30" s="7">
        <v>1.100317</v>
      </c>
      <c r="Q30" s="7">
        <v>1.5221899999999999</v>
      </c>
      <c r="R30" s="7">
        <v>1.361713</v>
      </c>
      <c r="S30" s="7">
        <v>1.1389009999999999</v>
      </c>
      <c r="T30" s="7">
        <v>1.066551</v>
      </c>
      <c r="U30" s="7">
        <v>1.102104</v>
      </c>
      <c r="V30" s="7">
        <v>1.1005199999999999</v>
      </c>
      <c r="W30" s="7">
        <v>1.0910040000000001</v>
      </c>
      <c r="X30" s="7">
        <v>1.060746</v>
      </c>
      <c r="Y30" s="7">
        <v>0.98386790000000002</v>
      </c>
      <c r="Z30" s="8">
        <v>1.079866</v>
      </c>
      <c r="AA30" s="8">
        <v>1.225236</v>
      </c>
      <c r="AB30" s="8">
        <v>1.2621709999999999</v>
      </c>
      <c r="AC30" s="8">
        <v>1.23953</v>
      </c>
      <c r="AD30" s="8">
        <v>1.272653</v>
      </c>
    </row>
    <row r="31" spans="1:30">
      <c r="A31" s="22">
        <v>439</v>
      </c>
      <c r="B31" s="22" t="s">
        <v>93</v>
      </c>
      <c r="C31" s="534">
        <v>1.06114</v>
      </c>
      <c r="D31" s="534">
        <v>0.94268379999999996</v>
      </c>
      <c r="E31" s="534">
        <v>1.03521</v>
      </c>
      <c r="F31" s="534">
        <v>0.9800413</v>
      </c>
      <c r="G31" s="534">
        <v>1.055364</v>
      </c>
      <c r="H31" s="534">
        <v>0.56771919999999998</v>
      </c>
      <c r="I31" s="534">
        <v>0.67962590000000001</v>
      </c>
      <c r="J31" s="534">
        <v>0.72924359999999999</v>
      </c>
      <c r="K31" s="534">
        <v>0.74976370000000003</v>
      </c>
      <c r="L31" s="534">
        <v>0.69328690000000004</v>
      </c>
      <c r="M31" s="534">
        <v>0.75044500000000003</v>
      </c>
      <c r="N31" s="7">
        <v>0.86018030000000001</v>
      </c>
      <c r="O31" s="7">
        <v>0.60549120000000001</v>
      </c>
      <c r="P31" s="7">
        <v>0.70584259999999999</v>
      </c>
      <c r="Q31" s="7">
        <v>0.57241350000000002</v>
      </c>
      <c r="R31" s="7">
        <v>0.63006629999999997</v>
      </c>
      <c r="S31" s="7">
        <v>0.87502869999999999</v>
      </c>
      <c r="T31" s="7">
        <v>0.93289860000000002</v>
      </c>
      <c r="U31" s="7">
        <v>0.91198000000000001</v>
      </c>
      <c r="V31" s="7">
        <v>1.094401</v>
      </c>
      <c r="W31" s="7">
        <v>0.9569898</v>
      </c>
      <c r="X31" s="7">
        <v>0.77895119999999995</v>
      </c>
      <c r="Y31" s="7">
        <v>0.79101250000000001</v>
      </c>
      <c r="Z31" s="20">
        <v>0.72011829999999999</v>
      </c>
      <c r="AA31" s="20">
        <v>0.69452389999999997</v>
      </c>
      <c r="AB31" s="20">
        <v>0.68613809999999997</v>
      </c>
      <c r="AC31" s="20">
        <v>0.71376589999999995</v>
      </c>
      <c r="AD31" s="20">
        <v>0.69291899999999995</v>
      </c>
    </row>
    <row r="32" spans="1:30">
      <c r="A32" s="22">
        <v>775</v>
      </c>
      <c r="B32" s="22" t="s">
        <v>164</v>
      </c>
      <c r="C32" s="534">
        <v>0.74965919999999997</v>
      </c>
      <c r="D32" s="534">
        <v>0.78382430000000003</v>
      </c>
      <c r="E32" s="534">
        <v>0.76871250000000002</v>
      </c>
      <c r="F32" s="534">
        <v>0.72482559999999996</v>
      </c>
      <c r="G32" s="534">
        <v>0.66192039999999996</v>
      </c>
      <c r="H32" s="534">
        <v>0.63709689999999997</v>
      </c>
      <c r="I32" s="534">
        <v>0.55911169999999999</v>
      </c>
      <c r="J32" s="534">
        <v>0.46309509999999998</v>
      </c>
      <c r="K32" s="534">
        <v>0.30262440000000002</v>
      </c>
      <c r="L32" s="534">
        <v>0.41967159999999998</v>
      </c>
      <c r="M32" s="534">
        <v>0.46265000000000001</v>
      </c>
      <c r="N32" s="7">
        <v>0.4132168</v>
      </c>
      <c r="O32" s="7">
        <v>0.38127349999999999</v>
      </c>
      <c r="P32" s="7">
        <v>0.35770200000000002</v>
      </c>
      <c r="Q32" s="7">
        <v>0.32763300000000001</v>
      </c>
      <c r="R32" s="7">
        <v>0.2871746</v>
      </c>
      <c r="S32" s="7">
        <v>0.31258340000000001</v>
      </c>
      <c r="T32" s="7">
        <v>0.35485610000000001</v>
      </c>
      <c r="U32" s="7">
        <v>0.28478999999999999</v>
      </c>
      <c r="V32" s="7">
        <v>0.21976770000000001</v>
      </c>
      <c r="W32" s="7">
        <v>0.17906549999999999</v>
      </c>
      <c r="X32" s="7">
        <v>0.1249816</v>
      </c>
      <c r="Y32" s="7">
        <v>0.15988649999999999</v>
      </c>
      <c r="Z32" s="19"/>
      <c r="AA32" s="19"/>
      <c r="AB32" s="19"/>
      <c r="AC32" s="19"/>
      <c r="AD32" s="19"/>
    </row>
    <row r="33" spans="1:30">
      <c r="A33" s="22">
        <v>516</v>
      </c>
      <c r="B33" s="22" t="s">
        <v>108</v>
      </c>
      <c r="C33" s="534">
        <v>1.054881</v>
      </c>
      <c r="D33" s="534">
        <v>0.94770209999999999</v>
      </c>
      <c r="E33" s="534">
        <v>1.0496080000000001</v>
      </c>
      <c r="F33" s="534">
        <v>0.86107710000000004</v>
      </c>
      <c r="G33" s="534">
        <v>0.92147100000000004</v>
      </c>
      <c r="H33" s="534">
        <v>0.8604813</v>
      </c>
      <c r="I33" s="534">
        <v>1.052128</v>
      </c>
      <c r="J33" s="534">
        <v>1.0471919999999999</v>
      </c>
      <c r="K33" s="534">
        <v>1.056459</v>
      </c>
      <c r="L33" s="534">
        <v>1.22462</v>
      </c>
      <c r="M33" s="534">
        <v>1.03562</v>
      </c>
      <c r="N33" s="7">
        <v>1.2136150000000001</v>
      </c>
      <c r="O33" s="7">
        <v>1.231131</v>
      </c>
      <c r="P33" s="7">
        <v>1.2026140000000001</v>
      </c>
      <c r="Q33" s="7">
        <v>1.27118</v>
      </c>
      <c r="R33" s="7">
        <v>1.299793</v>
      </c>
      <c r="S33" s="7">
        <v>1.097208</v>
      </c>
      <c r="T33" s="7">
        <v>0.89706200000000003</v>
      </c>
      <c r="U33" s="7">
        <v>1.135751</v>
      </c>
      <c r="V33" s="7">
        <v>1.065707</v>
      </c>
      <c r="W33" s="7">
        <v>1.195659</v>
      </c>
      <c r="X33" s="7">
        <v>1.2712220000000001</v>
      </c>
      <c r="Y33" s="7">
        <v>1.2474400000000001</v>
      </c>
      <c r="Z33" s="8">
        <v>1.280681</v>
      </c>
      <c r="AA33" s="8">
        <v>1.248481</v>
      </c>
      <c r="AB33" s="8">
        <v>1.2350190000000001</v>
      </c>
      <c r="AC33" s="8">
        <v>1.3244530000000001</v>
      </c>
      <c r="AD33" s="8">
        <v>1.232208</v>
      </c>
    </row>
    <row r="34" spans="1:30">
      <c r="A34" s="22">
        <v>811</v>
      </c>
      <c r="B34" s="22" t="s">
        <v>169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7"/>
      <c r="O34" s="7"/>
      <c r="P34" s="7"/>
      <c r="Q34" s="7"/>
      <c r="R34" s="7"/>
      <c r="S34" s="7"/>
      <c r="T34" s="7"/>
      <c r="U34" s="7"/>
      <c r="V34" s="7"/>
      <c r="W34" s="7"/>
      <c r="X34" s="7">
        <v>0.48251840000000001</v>
      </c>
      <c r="Y34" s="7">
        <v>0.45831480000000002</v>
      </c>
      <c r="Z34" s="8">
        <v>0.4247686</v>
      </c>
      <c r="AA34" s="8">
        <v>0.4104064</v>
      </c>
      <c r="AB34" s="8">
        <v>0.4096687</v>
      </c>
      <c r="AC34" s="8">
        <v>0.43227850000000001</v>
      </c>
      <c r="AD34" s="8">
        <v>0.45383299999999999</v>
      </c>
    </row>
    <row r="35" spans="1:30">
      <c r="A35" s="22">
        <v>471</v>
      </c>
      <c r="B35" s="22" t="s">
        <v>98</v>
      </c>
      <c r="C35" s="534">
        <v>1.133475</v>
      </c>
      <c r="D35" s="534">
        <v>1.093469</v>
      </c>
      <c r="E35" s="534">
        <v>1.1295949999999999</v>
      </c>
      <c r="F35" s="534">
        <v>1.6769350000000001</v>
      </c>
      <c r="G35" s="534">
        <v>1.4121330000000001</v>
      </c>
      <c r="H35" s="534">
        <v>1.4564189999999999</v>
      </c>
      <c r="I35" s="534">
        <v>1.154258</v>
      </c>
      <c r="J35" s="534">
        <v>0.98261659999999995</v>
      </c>
      <c r="K35" s="534">
        <v>1.0553049999999999</v>
      </c>
      <c r="L35" s="534">
        <v>1.093734</v>
      </c>
      <c r="M35" s="534">
        <v>0.69521980000000005</v>
      </c>
      <c r="N35" s="7">
        <v>0.64083590000000001</v>
      </c>
      <c r="O35" s="7">
        <v>0.75220509999999996</v>
      </c>
      <c r="P35" s="7">
        <v>0.73772979999999999</v>
      </c>
      <c r="Q35" s="7">
        <v>0.52690800000000004</v>
      </c>
      <c r="R35" s="7">
        <v>0.59569700000000003</v>
      </c>
      <c r="S35" s="7">
        <v>0.66725889999999999</v>
      </c>
      <c r="T35" s="7">
        <v>0.71206630000000004</v>
      </c>
      <c r="U35" s="7">
        <v>0.78294059999999999</v>
      </c>
      <c r="V35" s="7">
        <v>0.77095800000000003</v>
      </c>
      <c r="W35" s="7">
        <v>0.81925380000000003</v>
      </c>
      <c r="X35" s="7">
        <v>1.058689</v>
      </c>
      <c r="Y35" s="7">
        <v>1.198081</v>
      </c>
      <c r="Z35" s="8">
        <v>1.1246339999999999</v>
      </c>
      <c r="AA35" s="8">
        <v>1.131907</v>
      </c>
      <c r="AB35" s="8">
        <v>1.086049</v>
      </c>
      <c r="AC35" s="8">
        <v>1.051183</v>
      </c>
      <c r="AD35" s="8">
        <v>1.06507</v>
      </c>
    </row>
    <row r="36" spans="1:30">
      <c r="A36" s="22">
        <v>20</v>
      </c>
      <c r="B36" s="22" t="s">
        <v>1</v>
      </c>
      <c r="C36" s="534">
        <v>0.81216759999999999</v>
      </c>
      <c r="D36" s="534">
        <v>0.88630920000000002</v>
      </c>
      <c r="E36" s="534">
        <v>0.84392370000000005</v>
      </c>
      <c r="F36" s="534">
        <v>0.79722729999999997</v>
      </c>
      <c r="G36" s="534">
        <v>0.80783369999999999</v>
      </c>
      <c r="H36" s="534">
        <v>0.79701759999999999</v>
      </c>
      <c r="I36" s="534">
        <v>0.83029410000000003</v>
      </c>
      <c r="J36" s="534">
        <v>0.8880074</v>
      </c>
      <c r="K36" s="534">
        <v>0.86178080000000001</v>
      </c>
      <c r="L36" s="534">
        <v>0.90843689999999999</v>
      </c>
      <c r="M36" s="534">
        <v>0.89200140000000006</v>
      </c>
      <c r="N36" s="7">
        <v>0.90504490000000004</v>
      </c>
      <c r="O36" s="7">
        <v>0.84716480000000005</v>
      </c>
      <c r="P36" s="7">
        <v>0.764845</v>
      </c>
      <c r="Q36" s="7">
        <v>0.77536700000000003</v>
      </c>
      <c r="R36" s="7">
        <v>0.77002669999999995</v>
      </c>
      <c r="S36" s="7">
        <v>0.80281279999999999</v>
      </c>
      <c r="T36" s="7">
        <v>0.85617549999999998</v>
      </c>
      <c r="U36" s="7">
        <v>0.83710660000000003</v>
      </c>
      <c r="V36" s="7">
        <v>0.83564510000000003</v>
      </c>
      <c r="W36" s="7">
        <v>0.79965149999999996</v>
      </c>
      <c r="X36" s="7">
        <v>0.77192680000000002</v>
      </c>
      <c r="Y36" s="7">
        <v>0.73563299999999998</v>
      </c>
      <c r="Z36" s="8">
        <v>0.75345359999999995</v>
      </c>
      <c r="AA36" s="8">
        <v>0.76845589999999997</v>
      </c>
      <c r="AB36" s="8">
        <v>0.7854506</v>
      </c>
      <c r="AC36" s="8">
        <v>0.78200729999999996</v>
      </c>
      <c r="AD36" s="8">
        <v>0.89144869999999998</v>
      </c>
    </row>
    <row r="37" spans="1:30">
      <c r="A37" s="22">
        <v>402</v>
      </c>
      <c r="B37" s="22" t="s">
        <v>81</v>
      </c>
      <c r="C37" s="534">
        <v>1.1406810000000001</v>
      </c>
      <c r="D37" s="534">
        <v>1.0995220000000001</v>
      </c>
      <c r="E37" s="534">
        <v>1.1955579999999999</v>
      </c>
      <c r="F37" s="534">
        <v>1.6747799999999999</v>
      </c>
      <c r="G37" s="534">
        <v>0.97943230000000003</v>
      </c>
      <c r="H37" s="534">
        <v>1.450245</v>
      </c>
      <c r="I37" s="534">
        <v>1.607518</v>
      </c>
      <c r="J37" s="534">
        <v>1.7271049999999999</v>
      </c>
      <c r="K37" s="534">
        <v>1.5187850000000001</v>
      </c>
      <c r="L37" s="534">
        <v>1.3977569999999999</v>
      </c>
      <c r="M37" s="534">
        <v>1.3249070000000001</v>
      </c>
      <c r="N37" s="7">
        <v>1.2718739999999999</v>
      </c>
      <c r="O37" s="7">
        <v>1.3635029999999999</v>
      </c>
      <c r="P37" s="7">
        <v>1.55287</v>
      </c>
      <c r="Q37" s="7">
        <v>1.3639049999999999</v>
      </c>
      <c r="R37" s="7">
        <v>1.3737919999999999</v>
      </c>
      <c r="S37" s="7">
        <v>1.3858600000000001</v>
      </c>
      <c r="T37" s="7">
        <v>1.6887129999999999</v>
      </c>
      <c r="U37" s="7">
        <v>1.221371</v>
      </c>
      <c r="V37" s="7">
        <v>1.2246300000000001</v>
      </c>
      <c r="W37" s="7">
        <v>1.309625</v>
      </c>
      <c r="X37" s="7">
        <v>1.361637</v>
      </c>
      <c r="Y37" s="7">
        <v>1.442652</v>
      </c>
      <c r="Z37" s="8">
        <v>1.4457720000000001</v>
      </c>
      <c r="AA37" s="8">
        <v>1.328182</v>
      </c>
      <c r="AB37" s="8">
        <v>1.2090430000000001</v>
      </c>
      <c r="AC37" s="8">
        <v>1.2829520000000001</v>
      </c>
      <c r="AD37" s="8">
        <v>1.2425850000000001</v>
      </c>
    </row>
    <row r="38" spans="1:30">
      <c r="A38" s="22">
        <v>482</v>
      </c>
      <c r="B38" s="22" t="s">
        <v>101</v>
      </c>
      <c r="C38" s="534">
        <v>0.93232130000000002</v>
      </c>
      <c r="D38" s="534">
        <v>0.79976530000000001</v>
      </c>
      <c r="E38" s="534">
        <v>0.67715610000000004</v>
      </c>
      <c r="F38" s="534">
        <v>0.7256901</v>
      </c>
      <c r="G38" s="534">
        <v>0.84145199999999998</v>
      </c>
      <c r="H38" s="534">
        <v>0.799207</v>
      </c>
      <c r="I38" s="534">
        <v>0.73374589999999995</v>
      </c>
      <c r="J38" s="534">
        <v>0.86481450000000004</v>
      </c>
      <c r="K38" s="534">
        <v>0.83648029999999995</v>
      </c>
      <c r="L38" s="534">
        <v>0.77133839999999998</v>
      </c>
      <c r="M38" s="534">
        <v>0.85335859999999997</v>
      </c>
      <c r="N38" s="7">
        <v>0.87166239999999995</v>
      </c>
      <c r="O38" s="7">
        <v>0.74960559999999998</v>
      </c>
      <c r="P38" s="7">
        <v>0.46051700000000001</v>
      </c>
      <c r="Q38" s="7">
        <v>0.38930150000000002</v>
      </c>
      <c r="R38" s="7">
        <v>0.54293469999999999</v>
      </c>
      <c r="S38" s="7">
        <v>0.40256769999999997</v>
      </c>
      <c r="T38" s="7">
        <v>0.41581639999999997</v>
      </c>
      <c r="U38" s="7">
        <v>0.39850669999999999</v>
      </c>
      <c r="V38" s="7">
        <v>0.4731882</v>
      </c>
      <c r="W38" s="7">
        <v>0.56621659999999996</v>
      </c>
      <c r="X38" s="7">
        <v>0.76767379999999996</v>
      </c>
      <c r="Y38" s="7">
        <v>0.60104409999999997</v>
      </c>
      <c r="Z38" s="8">
        <v>0.34235300000000002</v>
      </c>
      <c r="AA38" s="8">
        <v>0.39082990000000001</v>
      </c>
      <c r="AB38" s="8">
        <v>0.46703139999999999</v>
      </c>
      <c r="AC38" s="8">
        <v>0.52700210000000003</v>
      </c>
      <c r="AD38" s="8">
        <v>0.50482280000000002</v>
      </c>
    </row>
    <row r="39" spans="1:30">
      <c r="A39" s="22">
        <v>483</v>
      </c>
      <c r="B39" s="22" t="s">
        <v>102</v>
      </c>
      <c r="C39" s="534">
        <v>0.42185299999999998</v>
      </c>
      <c r="D39" s="534">
        <v>0.3459006</v>
      </c>
      <c r="E39" s="534">
        <v>0.2722058</v>
      </c>
      <c r="F39" s="534">
        <v>0.1968066</v>
      </c>
      <c r="G39" s="534">
        <v>0.36439250000000001</v>
      </c>
      <c r="H39" s="534">
        <v>0.39678249999999998</v>
      </c>
      <c r="I39" s="534">
        <v>0.40320289999999998</v>
      </c>
      <c r="J39" s="534">
        <v>0.38911879999999999</v>
      </c>
      <c r="K39" s="534">
        <v>0.67103919999999995</v>
      </c>
      <c r="L39" s="534">
        <v>0.82949039999999996</v>
      </c>
      <c r="M39" s="534">
        <v>0.71492230000000001</v>
      </c>
      <c r="N39" s="7">
        <v>0.62358349999999996</v>
      </c>
      <c r="O39" s="7">
        <v>0.54564460000000004</v>
      </c>
      <c r="P39" s="7">
        <v>0.46210990000000002</v>
      </c>
      <c r="Q39" s="7">
        <v>0.37250119999999998</v>
      </c>
      <c r="R39" s="7">
        <v>0.49610520000000002</v>
      </c>
      <c r="S39" s="7">
        <v>0.59006939999999997</v>
      </c>
      <c r="T39" s="7">
        <v>0.62976739999999998</v>
      </c>
      <c r="U39" s="7">
        <v>0.64595029999999998</v>
      </c>
      <c r="V39" s="7">
        <v>0.63066500000000003</v>
      </c>
      <c r="W39" s="7">
        <v>0.75621360000000004</v>
      </c>
      <c r="X39" s="7">
        <v>0.74065700000000001</v>
      </c>
      <c r="Y39" s="7">
        <v>0.77496449999999995</v>
      </c>
      <c r="Z39" s="8">
        <v>0.69070969999999998</v>
      </c>
      <c r="AA39" s="8">
        <v>0.55527199999999999</v>
      </c>
      <c r="AB39" s="8">
        <v>0.5261924</v>
      </c>
      <c r="AC39" s="8">
        <v>0.54046470000000002</v>
      </c>
      <c r="AD39" s="8">
        <v>0.57911729999999995</v>
      </c>
    </row>
    <row r="40" spans="1:30">
      <c r="A40" s="22">
        <v>155</v>
      </c>
      <c r="B40" s="22" t="s">
        <v>32</v>
      </c>
      <c r="C40" s="534">
        <v>1.2809710000000001</v>
      </c>
      <c r="D40" s="534">
        <v>1.2174419999999999</v>
      </c>
      <c r="E40" s="534">
        <v>0.69671959999999999</v>
      </c>
      <c r="F40" s="534">
        <v>0.59060489999999999</v>
      </c>
      <c r="G40" s="534">
        <v>0.68438080000000001</v>
      </c>
      <c r="H40" s="534">
        <v>0.68251870000000003</v>
      </c>
      <c r="I40" s="534">
        <v>0.73925390000000002</v>
      </c>
      <c r="J40" s="534">
        <v>0.75203690000000001</v>
      </c>
      <c r="K40" s="534">
        <v>0.60030119999999998</v>
      </c>
      <c r="L40" s="534">
        <v>0.67202379999999995</v>
      </c>
      <c r="M40" s="534">
        <v>0.61491830000000003</v>
      </c>
      <c r="N40" s="7">
        <v>0.76785669999999995</v>
      </c>
      <c r="O40" s="7">
        <v>0.86502920000000005</v>
      </c>
      <c r="P40" s="7">
        <v>0.91122389999999998</v>
      </c>
      <c r="Q40" s="7">
        <v>0.85625819999999997</v>
      </c>
      <c r="R40" s="7">
        <v>0.82938500000000004</v>
      </c>
      <c r="S40" s="7">
        <v>0.90390269999999995</v>
      </c>
      <c r="T40" s="7">
        <v>0.87708050000000004</v>
      </c>
      <c r="U40" s="7">
        <v>0.85439540000000003</v>
      </c>
      <c r="V40" s="7">
        <v>0.68572900000000003</v>
      </c>
      <c r="W40" s="7">
        <v>0.24433379999999999</v>
      </c>
      <c r="X40" s="7">
        <v>0.22590360000000001</v>
      </c>
      <c r="Y40" s="7">
        <v>0.16376830000000001</v>
      </c>
      <c r="Z40" s="8">
        <v>0.1742697</v>
      </c>
      <c r="AA40" s="8">
        <v>0.24154310000000001</v>
      </c>
      <c r="AB40" s="8">
        <v>0.35457329999999998</v>
      </c>
      <c r="AC40" s="8">
        <v>0.51923019999999998</v>
      </c>
      <c r="AD40" s="8">
        <v>0.31137759999999998</v>
      </c>
    </row>
    <row r="41" spans="1:30">
      <c r="A41" s="22">
        <v>710</v>
      </c>
      <c r="B41" s="22" t="s">
        <v>154</v>
      </c>
      <c r="C41" s="534">
        <v>1.2792330000000001</v>
      </c>
      <c r="D41" s="534">
        <v>1.3041480000000001</v>
      </c>
      <c r="E41" s="534">
        <v>1.298095</v>
      </c>
      <c r="F41" s="534">
        <v>1.345397</v>
      </c>
      <c r="G41" s="534">
        <v>0.71023910000000001</v>
      </c>
      <c r="H41" s="534">
        <v>0.72879930000000004</v>
      </c>
      <c r="I41" s="534">
        <v>0.65779909999999997</v>
      </c>
      <c r="J41" s="534">
        <v>0.67953680000000005</v>
      </c>
      <c r="K41" s="534">
        <v>1.035361</v>
      </c>
      <c r="L41" s="534">
        <v>1.0051140000000001</v>
      </c>
      <c r="M41" s="534">
        <v>1.04158</v>
      </c>
      <c r="N41" s="7">
        <v>1.048789</v>
      </c>
      <c r="O41" s="7">
        <v>0.23198820000000001</v>
      </c>
      <c r="P41" s="7">
        <v>0.65795490000000001</v>
      </c>
      <c r="Q41" s="7">
        <v>0.40169670000000002</v>
      </c>
      <c r="R41" s="7">
        <v>0.54300930000000003</v>
      </c>
      <c r="S41" s="7">
        <v>0.415686</v>
      </c>
      <c r="T41" s="7">
        <v>0.80947570000000002</v>
      </c>
      <c r="U41" s="7">
        <v>0.82570529999999998</v>
      </c>
      <c r="V41" s="7">
        <v>0.7985004</v>
      </c>
      <c r="W41" s="7">
        <v>0.73233809999999999</v>
      </c>
      <c r="X41" s="7">
        <v>0.87410089999999996</v>
      </c>
      <c r="Y41" s="7">
        <v>0.71189380000000002</v>
      </c>
      <c r="Z41" s="8">
        <v>0.69186250000000005</v>
      </c>
      <c r="AA41" s="8">
        <v>0.54978439999999995</v>
      </c>
      <c r="AB41" s="8">
        <v>0.61515379999999997</v>
      </c>
      <c r="AC41" s="8">
        <v>0.64833200000000002</v>
      </c>
      <c r="AD41" s="8">
        <v>0.59010410000000002</v>
      </c>
    </row>
    <row r="42" spans="1:30">
      <c r="A42" s="22">
        <v>100</v>
      </c>
      <c r="B42" s="22" t="s">
        <v>23</v>
      </c>
      <c r="C42" s="534">
        <v>0.71624200000000005</v>
      </c>
      <c r="D42" s="534">
        <v>0.68822000000000005</v>
      </c>
      <c r="E42" s="534">
        <v>0.52501169999999997</v>
      </c>
      <c r="F42" s="534">
        <v>0.51468789999999998</v>
      </c>
      <c r="G42" s="534">
        <v>0.50313079999999999</v>
      </c>
      <c r="H42" s="534">
        <v>0.6069753</v>
      </c>
      <c r="I42" s="534">
        <v>0.6579583</v>
      </c>
      <c r="J42" s="534">
        <v>0.80775589999999997</v>
      </c>
      <c r="K42" s="534">
        <v>0.78801920000000003</v>
      </c>
      <c r="L42" s="534">
        <v>0.77334250000000004</v>
      </c>
      <c r="M42" s="534">
        <v>0.64800170000000001</v>
      </c>
      <c r="N42" s="7">
        <v>0.76497749999999998</v>
      </c>
      <c r="O42" s="7">
        <v>0.78743160000000001</v>
      </c>
      <c r="P42" s="7">
        <v>0.82962670000000005</v>
      </c>
      <c r="Q42" s="7">
        <v>0.94724149999999996</v>
      </c>
      <c r="R42" s="7">
        <v>1.0777270000000001</v>
      </c>
      <c r="S42" s="7">
        <v>1.0675220000000001</v>
      </c>
      <c r="T42" s="7">
        <v>1.1342449999999999</v>
      </c>
      <c r="U42" s="7">
        <v>0.99413969999999996</v>
      </c>
      <c r="V42" s="7">
        <v>0.95103300000000002</v>
      </c>
      <c r="W42" s="7">
        <v>0.89073000000000002</v>
      </c>
      <c r="X42" s="7">
        <v>0.60028649999999995</v>
      </c>
      <c r="Y42" s="7">
        <v>0.55666689999999996</v>
      </c>
      <c r="Z42" s="8">
        <v>0.30540220000000001</v>
      </c>
      <c r="AA42" s="8">
        <v>0.67660980000000004</v>
      </c>
      <c r="AB42" s="8">
        <v>0.4227167</v>
      </c>
      <c r="AC42" s="8">
        <v>0.86793450000000005</v>
      </c>
      <c r="AD42" s="8">
        <v>0.7599205</v>
      </c>
    </row>
    <row r="43" spans="1:30">
      <c r="A43" s="22">
        <v>581</v>
      </c>
      <c r="B43" s="22" t="s">
        <v>125</v>
      </c>
      <c r="C43" s="534">
        <v>0.71440550000000003</v>
      </c>
      <c r="D43" s="534">
        <v>0.34243269999999998</v>
      </c>
      <c r="E43" s="534">
        <v>1.378406</v>
      </c>
      <c r="F43" s="534">
        <v>1.415389</v>
      </c>
      <c r="G43" s="534">
        <v>1.413098</v>
      </c>
      <c r="H43" s="534">
        <v>1.071599</v>
      </c>
      <c r="I43" s="534">
        <v>1.3099130000000001</v>
      </c>
      <c r="J43" s="534">
        <v>0.83944879999999999</v>
      </c>
      <c r="K43" s="534">
        <v>1.399187</v>
      </c>
      <c r="L43" s="534">
        <v>1.357178</v>
      </c>
      <c r="M43" s="534">
        <v>1.33605</v>
      </c>
      <c r="N43" s="7">
        <v>1.22803</v>
      </c>
      <c r="O43" s="7">
        <v>1.1542060000000001</v>
      </c>
      <c r="P43" s="7">
        <v>1.0880860000000001</v>
      </c>
      <c r="Q43" s="7">
        <v>1.058219</v>
      </c>
      <c r="R43" s="7">
        <v>0.96039099999999999</v>
      </c>
      <c r="S43" s="7">
        <v>0.87491669999999999</v>
      </c>
      <c r="T43" s="7">
        <v>0.82711049999999997</v>
      </c>
      <c r="U43" s="7">
        <v>0.82199560000000005</v>
      </c>
      <c r="V43" s="7">
        <v>0.83818970000000004</v>
      </c>
      <c r="W43" s="7">
        <v>0.67510150000000002</v>
      </c>
      <c r="X43" s="7">
        <v>0.97183870000000006</v>
      </c>
      <c r="Y43" s="7">
        <v>1.1770769999999999</v>
      </c>
      <c r="Z43" s="8">
        <v>1.115337</v>
      </c>
      <c r="AA43" s="8">
        <v>1.059277</v>
      </c>
      <c r="AB43" s="8">
        <v>1.0670759999999999</v>
      </c>
      <c r="AC43" s="8">
        <v>1.171791</v>
      </c>
      <c r="AD43" s="8">
        <v>1.1124620000000001</v>
      </c>
    </row>
    <row r="44" spans="1:30">
      <c r="A44" s="22">
        <v>490</v>
      </c>
      <c r="B44" s="22" t="s">
        <v>104</v>
      </c>
      <c r="C44" s="534">
        <v>0.55077229999999999</v>
      </c>
      <c r="D44" s="534">
        <v>0.50712380000000001</v>
      </c>
      <c r="E44" s="534">
        <v>0.4660319</v>
      </c>
      <c r="F44" s="534">
        <v>0.43455890000000003</v>
      </c>
      <c r="G44" s="534">
        <v>0.40505580000000002</v>
      </c>
      <c r="H44" s="534">
        <v>0.5177754</v>
      </c>
      <c r="I44" s="534">
        <v>0.47420119999999999</v>
      </c>
      <c r="J44" s="534">
        <v>0.47674299999999997</v>
      </c>
      <c r="K44" s="534">
        <v>0.4748617</v>
      </c>
      <c r="L44" s="534">
        <v>0.53603659999999997</v>
      </c>
      <c r="M44" s="534">
        <v>0.48304970000000003</v>
      </c>
      <c r="N44" s="7">
        <v>0.2213273</v>
      </c>
      <c r="O44" s="7">
        <v>0.1967468</v>
      </c>
      <c r="P44" s="7">
        <v>0.26975919999999998</v>
      </c>
      <c r="Q44" s="7">
        <v>0.1604535</v>
      </c>
      <c r="R44" s="7">
        <v>0.34186430000000001</v>
      </c>
      <c r="S44" s="7">
        <v>0.30760270000000001</v>
      </c>
      <c r="T44" s="7">
        <v>0.2697618</v>
      </c>
      <c r="U44" s="7">
        <v>0.40547640000000001</v>
      </c>
      <c r="V44" s="7">
        <v>0.2634707</v>
      </c>
      <c r="W44" s="7">
        <v>0.2047436</v>
      </c>
      <c r="X44" s="7">
        <v>0.2633529</v>
      </c>
      <c r="Y44" s="7">
        <v>0.43049219999999999</v>
      </c>
      <c r="Z44" s="8">
        <v>0.3608481</v>
      </c>
      <c r="AA44" s="8">
        <v>0.44297009999999998</v>
      </c>
      <c r="AB44" s="8">
        <v>0.49578250000000001</v>
      </c>
      <c r="AC44" s="8">
        <v>0.4889095</v>
      </c>
      <c r="AD44" s="8">
        <v>0.51376409999999995</v>
      </c>
    </row>
    <row r="45" spans="1:30">
      <c r="A45" s="22">
        <v>484</v>
      </c>
      <c r="B45" s="22" t="s">
        <v>103</v>
      </c>
      <c r="C45" s="534">
        <v>1.1964920000000001</v>
      </c>
      <c r="D45" s="534">
        <v>1.319453</v>
      </c>
      <c r="E45" s="534">
        <v>1.205052</v>
      </c>
      <c r="F45" s="534">
        <v>1.2199869999999999</v>
      </c>
      <c r="G45" s="534">
        <v>1.2027920000000001</v>
      </c>
      <c r="H45" s="534">
        <v>1.0565310000000001</v>
      </c>
      <c r="I45" s="534">
        <v>1.765981</v>
      </c>
      <c r="J45" s="534">
        <v>0.7558357</v>
      </c>
      <c r="K45" s="534">
        <v>0.55210809999999999</v>
      </c>
      <c r="L45" s="534">
        <v>0.66294810000000004</v>
      </c>
      <c r="M45" s="534">
        <v>1.068055</v>
      </c>
      <c r="N45" s="7">
        <v>0.98754399999999998</v>
      </c>
      <c r="O45" s="7">
        <v>0.63075099999999995</v>
      </c>
      <c r="P45" s="7">
        <v>0.20841489999999999</v>
      </c>
      <c r="Q45" s="7">
        <v>0.32531870000000002</v>
      </c>
      <c r="R45" s="7">
        <v>0.43258570000000002</v>
      </c>
      <c r="S45" s="7">
        <v>0.43047400000000002</v>
      </c>
      <c r="T45" s="7">
        <v>0.26775120000000002</v>
      </c>
      <c r="U45" s="7">
        <v>0.54343549999999996</v>
      </c>
      <c r="V45" s="7">
        <v>0.29577629999999999</v>
      </c>
      <c r="W45" s="7">
        <v>0.46643869999999998</v>
      </c>
      <c r="X45" s="7">
        <v>0.69399920000000004</v>
      </c>
      <c r="Y45" s="7">
        <v>0.61796530000000005</v>
      </c>
      <c r="Z45" s="8">
        <v>0.43567400000000001</v>
      </c>
      <c r="AA45" s="8">
        <v>0.3940881</v>
      </c>
      <c r="AB45" s="8">
        <v>0.41025309999999998</v>
      </c>
      <c r="AC45" s="8">
        <v>0.3912524</v>
      </c>
      <c r="AD45" s="8">
        <v>0.36303150000000001</v>
      </c>
    </row>
    <row r="46" spans="1:30">
      <c r="A46" s="22">
        <v>94</v>
      </c>
      <c r="B46" s="22" t="s">
        <v>21</v>
      </c>
      <c r="C46" s="534">
        <v>0.91524700000000003</v>
      </c>
      <c r="D46" s="534">
        <v>0.89408980000000005</v>
      </c>
      <c r="E46" s="534">
        <v>0.90211859999999999</v>
      </c>
      <c r="F46" s="534">
        <v>1.128268</v>
      </c>
      <c r="G46" s="534">
        <v>1.0985119999999999</v>
      </c>
      <c r="H46" s="534">
        <v>1.005204</v>
      </c>
      <c r="I46" s="534">
        <v>1.0000899999999999</v>
      </c>
      <c r="J46" s="534">
        <v>1.0839399999999999</v>
      </c>
      <c r="K46" s="534">
        <v>1.0894619999999999</v>
      </c>
      <c r="L46" s="534">
        <v>1.017272</v>
      </c>
      <c r="M46" s="534">
        <v>0.96871810000000003</v>
      </c>
      <c r="N46" s="7">
        <v>0.97396899999999997</v>
      </c>
      <c r="O46" s="7">
        <v>1.0898319999999999</v>
      </c>
      <c r="P46" s="7">
        <v>1.0920909999999999</v>
      </c>
      <c r="Q46" s="7">
        <v>1.040098</v>
      </c>
      <c r="R46" s="7">
        <v>1.1074349999999999</v>
      </c>
      <c r="S46" s="7">
        <v>1.11755</v>
      </c>
      <c r="T46" s="7">
        <v>1.109353</v>
      </c>
      <c r="U46" s="7">
        <v>1.075494</v>
      </c>
      <c r="V46" s="7">
        <v>1.0113239999999999</v>
      </c>
      <c r="W46" s="7">
        <v>0.70694089999999998</v>
      </c>
      <c r="X46" s="7">
        <v>0.81530480000000005</v>
      </c>
      <c r="Y46" s="7">
        <v>0.75478129999999999</v>
      </c>
      <c r="Z46" s="20">
        <v>0.78042540000000005</v>
      </c>
      <c r="AA46" s="20">
        <v>0.76371279999999997</v>
      </c>
      <c r="AB46" s="20">
        <v>0.75928410000000002</v>
      </c>
      <c r="AC46" s="20">
        <v>0.89305959999999995</v>
      </c>
      <c r="AD46" s="20">
        <v>0.81626359999999998</v>
      </c>
    </row>
    <row r="47" spans="1:30">
      <c r="A47" s="22">
        <v>437</v>
      </c>
      <c r="B47" s="22" t="s">
        <v>91</v>
      </c>
      <c r="C47" s="534">
        <v>1.768491</v>
      </c>
      <c r="D47" s="534">
        <v>1.193789</v>
      </c>
      <c r="E47" s="534">
        <v>1.0432980000000001</v>
      </c>
      <c r="F47" s="534">
        <v>1.157662</v>
      </c>
      <c r="G47" s="534">
        <v>1.739881</v>
      </c>
      <c r="H47" s="534">
        <v>0.89863570000000004</v>
      </c>
      <c r="I47" s="534">
        <v>1.831351</v>
      </c>
      <c r="J47" s="534">
        <v>1.816818</v>
      </c>
      <c r="K47" s="534">
        <v>2.9960100000000001</v>
      </c>
      <c r="L47" s="534">
        <v>2.8542730000000001</v>
      </c>
      <c r="M47" s="534">
        <v>1.7922260000000001</v>
      </c>
      <c r="N47" s="7">
        <v>1.8048709999999999</v>
      </c>
      <c r="O47" s="7">
        <v>1.170561</v>
      </c>
      <c r="P47" s="7">
        <v>1.0290090000000001</v>
      </c>
      <c r="Q47" s="7">
        <v>1.035749</v>
      </c>
      <c r="R47" s="7">
        <v>1.1647380000000001</v>
      </c>
      <c r="S47" s="7">
        <v>1.1035239999999999</v>
      </c>
      <c r="T47" s="7">
        <v>0.99794470000000002</v>
      </c>
      <c r="U47" s="7">
        <v>0.94194089999999997</v>
      </c>
      <c r="V47" s="7">
        <v>0.92535780000000001</v>
      </c>
      <c r="W47" s="7">
        <v>0.88265170000000004</v>
      </c>
      <c r="X47" s="7">
        <v>0.91145120000000002</v>
      </c>
      <c r="Y47" s="7">
        <v>0.95383229999999997</v>
      </c>
      <c r="Z47" s="8">
        <v>0.90043930000000005</v>
      </c>
      <c r="AA47" s="8">
        <v>0.92829640000000002</v>
      </c>
      <c r="AB47" s="8">
        <v>0.88768179999999997</v>
      </c>
      <c r="AC47" s="8">
        <v>0.89023390000000002</v>
      </c>
      <c r="AD47" s="8">
        <v>1.000014</v>
      </c>
    </row>
    <row r="48" spans="1:30">
      <c r="A48" s="22">
        <v>344</v>
      </c>
      <c r="B48" s="22" t="s">
        <v>58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7">
        <v>1.013593</v>
      </c>
      <c r="O48" s="7">
        <v>1.5585039999999999</v>
      </c>
      <c r="P48" s="7">
        <v>1.6991639999999999</v>
      </c>
      <c r="Q48" s="7">
        <v>2.0844710000000002</v>
      </c>
      <c r="R48" s="7">
        <v>2.1148609999999999</v>
      </c>
      <c r="S48" s="7">
        <v>2.133569</v>
      </c>
      <c r="T48" s="7">
        <v>2.032343</v>
      </c>
      <c r="U48" s="7">
        <v>2.3233090000000001</v>
      </c>
      <c r="V48" s="7">
        <v>2.1044870000000002</v>
      </c>
      <c r="W48" s="7">
        <v>2.021325</v>
      </c>
      <c r="X48" s="7">
        <v>1.915327</v>
      </c>
      <c r="Y48" s="7">
        <v>1.961503</v>
      </c>
      <c r="Z48" s="8">
        <v>1.898201</v>
      </c>
      <c r="AA48" s="8">
        <v>1.9342330000000001</v>
      </c>
      <c r="AB48" s="8">
        <v>1.910337</v>
      </c>
      <c r="AC48" s="8">
        <v>1.904571</v>
      </c>
      <c r="AD48" s="8">
        <v>1.8598330000000001</v>
      </c>
    </row>
    <row r="49" spans="1:30">
      <c r="A49" s="22">
        <v>40</v>
      </c>
      <c r="B49" s="22" t="s">
        <v>3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9"/>
      <c r="AA49" s="19"/>
      <c r="AB49" s="19"/>
      <c r="AC49" s="19"/>
      <c r="AD49" s="19"/>
    </row>
    <row r="50" spans="1:30">
      <c r="A50" s="22">
        <v>352</v>
      </c>
      <c r="B50" s="22" t="s">
        <v>63</v>
      </c>
      <c r="C50" s="534">
        <v>0.63695109999999999</v>
      </c>
      <c r="D50" s="534">
        <v>0.64641470000000001</v>
      </c>
      <c r="E50" s="534">
        <v>0.65526519999999999</v>
      </c>
      <c r="F50" s="534">
        <v>0.68638310000000002</v>
      </c>
      <c r="G50" s="534">
        <v>0.71508799999999995</v>
      </c>
      <c r="H50" s="534">
        <v>0.74950749999999999</v>
      </c>
      <c r="I50" s="534">
        <v>0.74696709999999999</v>
      </c>
      <c r="J50" s="534">
        <v>0.72413459999999996</v>
      </c>
      <c r="K50" s="534">
        <v>0.78268550000000003</v>
      </c>
      <c r="L50" s="534">
        <v>0.808975</v>
      </c>
      <c r="M50" s="534">
        <v>0.78294240000000004</v>
      </c>
      <c r="N50" s="7">
        <v>0.70495059999999998</v>
      </c>
      <c r="O50" s="7">
        <v>0.77182969999999995</v>
      </c>
      <c r="P50" s="7">
        <v>0.81774999999999998</v>
      </c>
      <c r="Q50" s="7">
        <v>0.86572260000000001</v>
      </c>
      <c r="R50" s="7">
        <v>0.86804179999999997</v>
      </c>
      <c r="S50" s="7">
        <v>0.83453549999999999</v>
      </c>
      <c r="T50" s="7">
        <v>0.79538500000000001</v>
      </c>
      <c r="U50" s="7">
        <v>1.0378590000000001</v>
      </c>
      <c r="V50" s="7">
        <v>1.0475099999999999</v>
      </c>
      <c r="W50" s="7">
        <v>1.1386179999999999</v>
      </c>
      <c r="X50" s="7">
        <v>1.188393</v>
      </c>
      <c r="Y50" s="7">
        <v>1.21228</v>
      </c>
      <c r="Z50" s="20">
        <v>1.347942</v>
      </c>
      <c r="AA50" s="20">
        <v>1.2561249999999999</v>
      </c>
      <c r="AB50" s="20">
        <v>1.335186</v>
      </c>
      <c r="AC50" s="20">
        <v>1.390091</v>
      </c>
      <c r="AD50" s="20">
        <v>1.2044379999999999</v>
      </c>
    </row>
    <row r="51" spans="1:30">
      <c r="A51" s="22">
        <v>316</v>
      </c>
      <c r="B51" s="22" t="s">
        <v>51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7"/>
      <c r="O51" s="7"/>
      <c r="P51" s="7">
        <v>1.4812289999999999</v>
      </c>
      <c r="Q51" s="7">
        <v>1.31626</v>
      </c>
      <c r="R51" s="7">
        <v>1.152217</v>
      </c>
      <c r="S51" s="7">
        <v>1.070373</v>
      </c>
      <c r="T51" s="7">
        <v>0.96660690000000005</v>
      </c>
      <c r="U51" s="7">
        <v>0.87204199999999998</v>
      </c>
      <c r="V51" s="7">
        <v>0.89699649999999997</v>
      </c>
      <c r="W51" s="7">
        <v>0.83588240000000003</v>
      </c>
      <c r="X51" s="7">
        <v>0.854271</v>
      </c>
      <c r="Y51" s="7">
        <v>0.87717350000000005</v>
      </c>
      <c r="Z51" s="8">
        <v>0.93997960000000003</v>
      </c>
      <c r="AA51" s="8">
        <v>0.87497950000000002</v>
      </c>
      <c r="AB51" s="8">
        <v>0.85835839999999997</v>
      </c>
      <c r="AC51" s="8">
        <v>0.8123165</v>
      </c>
      <c r="AD51" s="8">
        <v>0.83072389999999996</v>
      </c>
    </row>
    <row r="52" spans="1:30">
      <c r="A52" s="22">
        <v>390</v>
      </c>
      <c r="B52" s="22" t="s">
        <v>79</v>
      </c>
      <c r="C52" s="534">
        <v>0.8637167</v>
      </c>
      <c r="D52" s="534">
        <v>0.7669068</v>
      </c>
      <c r="E52" s="534">
        <v>0.72852050000000002</v>
      </c>
      <c r="F52" s="534">
        <v>0.81412910000000005</v>
      </c>
      <c r="G52" s="534">
        <v>0.92794169999999998</v>
      </c>
      <c r="H52" s="534">
        <v>1.0297810000000001</v>
      </c>
      <c r="I52" s="534">
        <v>1.216305</v>
      </c>
      <c r="J52" s="534">
        <v>1.2760290000000001</v>
      </c>
      <c r="K52" s="534">
        <v>1.1335</v>
      </c>
      <c r="L52" s="534">
        <v>1.026939</v>
      </c>
      <c r="M52" s="534">
        <v>0.9267244</v>
      </c>
      <c r="N52" s="7">
        <v>0.90756490000000001</v>
      </c>
      <c r="O52" s="7">
        <v>0.90451959999999998</v>
      </c>
      <c r="P52" s="7">
        <v>0.93331679999999995</v>
      </c>
      <c r="Q52" s="7">
        <v>0.96705260000000004</v>
      </c>
      <c r="R52" s="7">
        <v>1.002162</v>
      </c>
      <c r="S52" s="7">
        <v>1.0177130000000001</v>
      </c>
      <c r="T52" s="7">
        <v>1.00928</v>
      </c>
      <c r="U52" s="7">
        <v>0.74126429999999999</v>
      </c>
      <c r="V52" s="7">
        <v>0.48948659999999999</v>
      </c>
      <c r="W52" s="7">
        <v>0.53522000000000003</v>
      </c>
      <c r="X52" s="7">
        <v>0.49737769999999998</v>
      </c>
      <c r="Y52" s="7">
        <v>0.73882119999999996</v>
      </c>
      <c r="Z52" s="8">
        <v>0.74613019999999997</v>
      </c>
      <c r="AA52" s="8">
        <v>0.84711610000000004</v>
      </c>
      <c r="AB52" s="8">
        <v>0.94588039999999995</v>
      </c>
      <c r="AC52" s="8">
        <v>0.94047389999999997</v>
      </c>
      <c r="AD52" s="8">
        <v>0.89251049999999998</v>
      </c>
    </row>
    <row r="53" spans="1:30">
      <c r="A53" s="22">
        <v>522</v>
      </c>
      <c r="B53" s="22" t="s">
        <v>111</v>
      </c>
      <c r="C53" s="534">
        <v>4.0847639999999998</v>
      </c>
      <c r="D53" s="534">
        <v>2.3154539999999999</v>
      </c>
      <c r="E53" s="534">
        <v>2.8336839999999999</v>
      </c>
      <c r="F53" s="534">
        <v>2.8396210000000002</v>
      </c>
      <c r="G53" s="534">
        <v>2.2005319999999999</v>
      </c>
      <c r="H53" s="534">
        <v>2.0424880000000001</v>
      </c>
      <c r="I53" s="534">
        <v>2.0230510000000002</v>
      </c>
      <c r="J53" s="534">
        <v>1.71698</v>
      </c>
      <c r="K53" s="534">
        <v>1.5036609999999999</v>
      </c>
      <c r="L53" s="534">
        <v>1.541741</v>
      </c>
      <c r="M53" s="534">
        <v>1.4682040000000001</v>
      </c>
      <c r="N53" s="7">
        <v>1.376492</v>
      </c>
      <c r="O53" s="7">
        <v>1.5912809999999999</v>
      </c>
      <c r="P53" s="7">
        <v>1.503933</v>
      </c>
      <c r="Q53" s="7">
        <v>1.4847330000000001</v>
      </c>
      <c r="R53" s="7">
        <v>1.379194</v>
      </c>
      <c r="S53" s="7">
        <v>1.4877659999999999</v>
      </c>
      <c r="T53" s="7">
        <v>1.91744</v>
      </c>
      <c r="U53" s="7">
        <v>1.7682910000000001</v>
      </c>
      <c r="V53" s="7">
        <v>1.864627</v>
      </c>
      <c r="W53" s="7">
        <v>1.6203129999999999</v>
      </c>
      <c r="X53" s="7">
        <v>1.494246</v>
      </c>
      <c r="Y53" s="7">
        <v>1.4087860000000001</v>
      </c>
      <c r="Z53" s="8">
        <v>1.37571</v>
      </c>
      <c r="AA53" s="8">
        <v>1.4593210000000001</v>
      </c>
      <c r="AB53" s="8">
        <v>1.486472</v>
      </c>
      <c r="AC53" s="8">
        <v>1.356304</v>
      </c>
      <c r="AD53" s="8">
        <v>1.3250710000000001</v>
      </c>
    </row>
    <row r="54" spans="1:30">
      <c r="A54" s="22">
        <v>54</v>
      </c>
      <c r="B54" s="22" t="s">
        <v>9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19"/>
      <c r="AA54" s="19"/>
      <c r="AB54" s="19"/>
      <c r="AC54" s="19"/>
      <c r="AD54" s="19"/>
    </row>
    <row r="55" spans="1:30">
      <c r="A55" s="22">
        <v>42</v>
      </c>
      <c r="B55" s="22" t="s">
        <v>5</v>
      </c>
      <c r="C55" s="534">
        <v>0.75781299999999996</v>
      </c>
      <c r="D55" s="534">
        <v>0.72466359999999996</v>
      </c>
      <c r="E55" s="534">
        <v>0.63227100000000003</v>
      </c>
      <c r="F55" s="534">
        <v>0.63524610000000004</v>
      </c>
      <c r="G55" s="534">
        <v>0.55853149999999996</v>
      </c>
      <c r="H55" s="534">
        <v>0.6519045</v>
      </c>
      <c r="I55" s="534">
        <v>0.75712880000000005</v>
      </c>
      <c r="J55" s="534">
        <v>0.74893379999999998</v>
      </c>
      <c r="K55" s="534">
        <v>0.70432969999999995</v>
      </c>
      <c r="L55" s="534">
        <v>0.79659930000000001</v>
      </c>
      <c r="M55" s="534">
        <v>0.69077560000000005</v>
      </c>
      <c r="N55" s="7">
        <v>0.65591520000000003</v>
      </c>
      <c r="O55" s="7">
        <v>0.96887330000000005</v>
      </c>
      <c r="P55" s="7">
        <v>0.98430609999999996</v>
      </c>
      <c r="Q55" s="7">
        <v>0.91092470000000003</v>
      </c>
      <c r="R55" s="7">
        <v>0.90321870000000004</v>
      </c>
      <c r="S55" s="7">
        <v>0.86234270000000002</v>
      </c>
      <c r="T55" s="7">
        <v>0.96257409999999999</v>
      </c>
      <c r="U55" s="7">
        <v>0.97492749999999995</v>
      </c>
      <c r="V55" s="7">
        <v>0.95709080000000002</v>
      </c>
      <c r="W55" s="7">
        <v>1.0146999999999999</v>
      </c>
      <c r="X55" s="7">
        <v>1.0052939999999999</v>
      </c>
      <c r="Y55" s="7">
        <v>1.005741</v>
      </c>
      <c r="Z55" s="8">
        <v>0.92432619999999999</v>
      </c>
      <c r="AA55" s="8">
        <v>0.94557789999999997</v>
      </c>
      <c r="AB55" s="8">
        <v>1.1184080000000001</v>
      </c>
      <c r="AC55" s="8">
        <v>1.132622</v>
      </c>
      <c r="AD55" s="8">
        <v>1.0223549999999999</v>
      </c>
    </row>
    <row r="56" spans="1:30">
      <c r="A56" s="22">
        <v>130</v>
      </c>
      <c r="B56" s="22" t="s">
        <v>27</v>
      </c>
      <c r="C56" s="534">
        <v>0.56284440000000002</v>
      </c>
      <c r="D56" s="534">
        <v>0.21051320000000001</v>
      </c>
      <c r="E56" s="534">
        <v>0.24049780000000001</v>
      </c>
      <c r="F56" s="534">
        <v>5.1506900000000001E-2</v>
      </c>
      <c r="G56" s="534">
        <v>0.39685379999999998</v>
      </c>
      <c r="H56" s="534">
        <v>0.82779250000000004</v>
      </c>
      <c r="I56" s="534">
        <v>0.58652530000000003</v>
      </c>
      <c r="J56" s="534">
        <v>0.52195360000000002</v>
      </c>
      <c r="K56" s="534">
        <v>0.53744599999999998</v>
      </c>
      <c r="L56" s="534">
        <v>0.67866040000000005</v>
      </c>
      <c r="M56" s="534">
        <v>0.50735660000000005</v>
      </c>
      <c r="N56" s="7">
        <v>0.61305739999999997</v>
      </c>
      <c r="O56" s="7">
        <v>1.3295250000000001</v>
      </c>
      <c r="P56" s="7">
        <v>1.4106590000000001</v>
      </c>
      <c r="Q56" s="7">
        <v>0.78525279999999997</v>
      </c>
      <c r="R56" s="7">
        <v>0.67647349999999995</v>
      </c>
      <c r="S56" s="7">
        <v>0.37879279999999999</v>
      </c>
      <c r="T56" s="7">
        <v>0.34413880000000002</v>
      </c>
      <c r="U56" s="7">
        <v>0.27971000000000001</v>
      </c>
      <c r="V56" s="7">
        <v>0.48624450000000002</v>
      </c>
      <c r="W56" s="7">
        <v>1.176191</v>
      </c>
      <c r="X56" s="7">
        <v>0.9762362</v>
      </c>
      <c r="Y56" s="7">
        <v>0.92644660000000001</v>
      </c>
      <c r="Z56" s="8">
        <v>0.91097410000000001</v>
      </c>
      <c r="AA56" s="8">
        <v>0.88179589999999997</v>
      </c>
      <c r="AB56" s="8">
        <v>0.86387570000000002</v>
      </c>
      <c r="AC56" s="8">
        <v>0.86042879999999999</v>
      </c>
      <c r="AD56" s="8">
        <v>0.78555850000000005</v>
      </c>
    </row>
    <row r="57" spans="1:30">
      <c r="A57" s="22">
        <v>651</v>
      </c>
      <c r="B57" s="22" t="s">
        <v>136</v>
      </c>
      <c r="C57" s="534">
        <v>1.8959109999999999</v>
      </c>
      <c r="D57" s="534">
        <v>1.699022</v>
      </c>
      <c r="E57" s="534">
        <v>1.82179</v>
      </c>
      <c r="F57" s="534">
        <v>1.558225</v>
      </c>
      <c r="G57" s="534">
        <v>1.291066</v>
      </c>
      <c r="H57" s="534">
        <v>1.3528979999999999</v>
      </c>
      <c r="I57" s="534">
        <v>1.3799980000000001</v>
      </c>
      <c r="J57" s="534">
        <v>1.371885</v>
      </c>
      <c r="K57" s="534">
        <v>1.1763600000000001</v>
      </c>
      <c r="L57" s="534">
        <v>1.17879</v>
      </c>
      <c r="M57" s="534">
        <v>1.273749</v>
      </c>
      <c r="N57" s="7">
        <v>0.61762870000000003</v>
      </c>
      <c r="O57" s="7">
        <v>0.84651549999999998</v>
      </c>
      <c r="P57" s="7">
        <v>0.86480559999999995</v>
      </c>
      <c r="Q57" s="7">
        <v>0.70113800000000004</v>
      </c>
      <c r="R57" s="7">
        <v>0.64290049999999999</v>
      </c>
      <c r="S57" s="7">
        <v>0.86751290000000003</v>
      </c>
      <c r="T57" s="7">
        <v>0.71482279999999998</v>
      </c>
      <c r="U57" s="7">
        <v>0.66043439999999998</v>
      </c>
      <c r="V57" s="7">
        <v>0.73939999999999995</v>
      </c>
      <c r="W57" s="7">
        <v>0.66628359999999998</v>
      </c>
      <c r="X57" s="7">
        <v>0.55037630000000004</v>
      </c>
      <c r="Y57" s="7">
        <v>0.4735684</v>
      </c>
      <c r="Z57" s="8">
        <v>0.56309279999999995</v>
      </c>
      <c r="AA57" s="8">
        <v>0.3545431</v>
      </c>
      <c r="AB57" s="8">
        <v>0.44560490000000003</v>
      </c>
      <c r="AC57" s="8">
        <v>0.59968319999999997</v>
      </c>
      <c r="AD57" s="8">
        <v>0.61064649999999998</v>
      </c>
    </row>
    <row r="58" spans="1:30">
      <c r="A58" s="22">
        <v>92</v>
      </c>
      <c r="B58" s="22" t="s">
        <v>19</v>
      </c>
      <c r="C58" s="534">
        <v>0.75423569999999995</v>
      </c>
      <c r="D58" s="534">
        <v>0.8117354</v>
      </c>
      <c r="E58" s="534">
        <v>0.76622840000000003</v>
      </c>
      <c r="F58" s="534">
        <v>0.77324040000000005</v>
      </c>
      <c r="G58" s="534">
        <v>0.83220930000000004</v>
      </c>
      <c r="H58" s="534">
        <v>0.8864805</v>
      </c>
      <c r="I58" s="534">
        <v>0.94496360000000001</v>
      </c>
      <c r="J58" s="534">
        <v>0.79552140000000005</v>
      </c>
      <c r="K58" s="534">
        <v>0.61313119999999999</v>
      </c>
      <c r="L58" s="534">
        <v>0.61014800000000002</v>
      </c>
      <c r="M58" s="534">
        <v>0.58468710000000002</v>
      </c>
      <c r="N58" s="7">
        <v>0.62742620000000004</v>
      </c>
      <c r="O58" s="7">
        <v>0.58867409999999998</v>
      </c>
      <c r="P58" s="7">
        <v>0.61396519999999999</v>
      </c>
      <c r="Q58" s="7">
        <v>0.64395440000000004</v>
      </c>
      <c r="R58" s="7">
        <v>0.69604809999999995</v>
      </c>
      <c r="S58" s="7">
        <v>0.69177129999999998</v>
      </c>
      <c r="T58" s="7">
        <v>0.62284790000000001</v>
      </c>
      <c r="U58" s="7">
        <v>0.91593029999999998</v>
      </c>
      <c r="V58" s="7">
        <v>0.89692830000000001</v>
      </c>
      <c r="W58" s="7">
        <v>0.92033399999999999</v>
      </c>
      <c r="X58" s="7">
        <v>1.019879</v>
      </c>
      <c r="Y58" s="7">
        <v>0.93283510000000003</v>
      </c>
      <c r="Z58" s="8">
        <v>0.87509859999999995</v>
      </c>
      <c r="AA58" s="8">
        <v>0.89309919999999998</v>
      </c>
      <c r="AB58" s="8">
        <v>0.93395189999999995</v>
      </c>
      <c r="AC58" s="8">
        <v>1.0386820000000001</v>
      </c>
      <c r="AD58" s="8">
        <v>1.0312570000000001</v>
      </c>
    </row>
    <row r="59" spans="1:30">
      <c r="A59" s="22">
        <v>411</v>
      </c>
      <c r="B59" s="22" t="s">
        <v>84</v>
      </c>
      <c r="C59" s="534">
        <v>0.34473569999999998</v>
      </c>
      <c r="D59" s="534">
        <v>0.33504889999999998</v>
      </c>
      <c r="E59" s="534">
        <v>0.33058100000000001</v>
      </c>
      <c r="F59" s="534">
        <v>0.37342979999999998</v>
      </c>
      <c r="G59" s="534">
        <v>0.37745190000000001</v>
      </c>
      <c r="H59" s="534">
        <v>0.33499190000000001</v>
      </c>
      <c r="I59" s="534">
        <v>0.33109549999999999</v>
      </c>
      <c r="J59" s="534">
        <v>0.31171149999999997</v>
      </c>
      <c r="K59" s="534">
        <v>0.30420190000000003</v>
      </c>
      <c r="L59" s="534">
        <v>0.3153049</v>
      </c>
      <c r="M59" s="534">
        <v>0.31606580000000001</v>
      </c>
      <c r="N59" s="7">
        <v>0.30623400000000001</v>
      </c>
      <c r="O59" s="7">
        <v>0.312083</v>
      </c>
      <c r="P59" s="7">
        <v>0.30915749999999997</v>
      </c>
      <c r="Q59" s="7">
        <v>0.30180430000000003</v>
      </c>
      <c r="R59" s="7">
        <v>0.31290240000000002</v>
      </c>
      <c r="S59" s="7">
        <v>0.28636129999999999</v>
      </c>
      <c r="T59" s="7">
        <v>0.27692109999999998</v>
      </c>
      <c r="U59" s="7">
        <v>0.28206029999999999</v>
      </c>
      <c r="V59" s="7">
        <v>0.25947700000000001</v>
      </c>
      <c r="W59" s="7">
        <v>0.20389260000000001</v>
      </c>
      <c r="X59" s="7">
        <v>0.37578149999999999</v>
      </c>
      <c r="Y59" s="7">
        <v>0.53140270000000001</v>
      </c>
      <c r="Z59" s="8">
        <v>0.4420577</v>
      </c>
      <c r="AA59" s="8">
        <v>0.30261779999999999</v>
      </c>
      <c r="AB59" s="8">
        <v>0.40124720000000003</v>
      </c>
      <c r="AC59" s="8">
        <v>0.47176469999999998</v>
      </c>
      <c r="AD59" s="8">
        <v>0.24854680000000001</v>
      </c>
    </row>
    <row r="60" spans="1:30">
      <c r="A60" s="22">
        <v>531</v>
      </c>
      <c r="B60" s="22" t="s">
        <v>113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7"/>
      <c r="O60" s="7">
        <v>0.3039809</v>
      </c>
      <c r="P60" s="7">
        <v>0.22888810000000001</v>
      </c>
      <c r="Q60" s="7">
        <v>0.25596730000000001</v>
      </c>
      <c r="R60" s="7">
        <v>0.25750309999999998</v>
      </c>
      <c r="S60" s="7">
        <v>0.29628640000000001</v>
      </c>
      <c r="T60" s="7">
        <v>0.32558799999999999</v>
      </c>
      <c r="U60" s="7">
        <v>0.44670120000000002</v>
      </c>
      <c r="V60" s="7">
        <v>0.83114189999999999</v>
      </c>
      <c r="W60" s="7">
        <v>0.91528989999999999</v>
      </c>
      <c r="X60" s="7">
        <v>0.94997310000000001</v>
      </c>
      <c r="Y60" s="7">
        <v>0.96303720000000004</v>
      </c>
      <c r="Z60" s="8">
        <v>1.0228710000000001</v>
      </c>
      <c r="AA60" s="8">
        <v>1.0580270000000001</v>
      </c>
      <c r="AB60" s="8">
        <v>1.1182049999999999</v>
      </c>
      <c r="AC60" s="8">
        <v>1.1435679999999999</v>
      </c>
      <c r="AD60" s="8">
        <v>1.079061</v>
      </c>
    </row>
    <row r="61" spans="1:30">
      <c r="A61" s="22">
        <v>366</v>
      </c>
      <c r="B61" s="22" t="s">
        <v>68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7"/>
      <c r="O61" s="7"/>
      <c r="P61" s="7"/>
      <c r="Q61" s="7"/>
      <c r="R61" s="7"/>
      <c r="S61" s="7"/>
      <c r="T61" s="7"/>
      <c r="U61" s="7">
        <v>1.377739</v>
      </c>
      <c r="V61" s="7">
        <v>1.3274319999999999</v>
      </c>
      <c r="W61" s="7">
        <v>0.90834110000000001</v>
      </c>
      <c r="X61" s="7">
        <v>0.85502840000000002</v>
      </c>
      <c r="Y61" s="7">
        <v>0.91356090000000001</v>
      </c>
      <c r="Z61" s="8">
        <v>0.9781668</v>
      </c>
      <c r="AA61" s="8">
        <v>0.91659630000000003</v>
      </c>
      <c r="AB61" s="8">
        <v>0.87365619999999999</v>
      </c>
      <c r="AC61" s="8">
        <v>0.90498140000000005</v>
      </c>
      <c r="AD61" s="8">
        <v>0.9726205</v>
      </c>
    </row>
    <row r="62" spans="1:30">
      <c r="A62" s="22">
        <v>530</v>
      </c>
      <c r="B62" s="22" t="s">
        <v>112</v>
      </c>
      <c r="C62" s="534">
        <v>1.1990320000000001</v>
      </c>
      <c r="D62" s="534">
        <v>1.261163</v>
      </c>
      <c r="E62" s="534">
        <v>1.2635270000000001</v>
      </c>
      <c r="F62" s="534">
        <v>1.159297</v>
      </c>
      <c r="G62" s="534">
        <v>1.1617470000000001</v>
      </c>
      <c r="H62" s="534">
        <v>1.0250049999999999</v>
      </c>
      <c r="I62" s="534">
        <v>1.282697</v>
      </c>
      <c r="J62" s="534">
        <v>1.1776470000000001</v>
      </c>
      <c r="K62" s="534">
        <v>1.270818</v>
      </c>
      <c r="L62" s="534">
        <v>1.2004330000000001</v>
      </c>
      <c r="M62" s="534">
        <v>1.020211</v>
      </c>
      <c r="N62" s="7">
        <v>0.86581980000000003</v>
      </c>
      <c r="O62" s="7">
        <v>0.60110909999999995</v>
      </c>
      <c r="P62" s="7">
        <v>0.65722639999999999</v>
      </c>
      <c r="Q62" s="7">
        <v>0.89604229999999996</v>
      </c>
      <c r="R62" s="7">
        <v>1.057355</v>
      </c>
      <c r="S62" s="7">
        <v>0.95326639999999996</v>
      </c>
      <c r="T62" s="7">
        <v>0.9764853</v>
      </c>
      <c r="U62" s="7">
        <v>0.92402240000000002</v>
      </c>
      <c r="V62" s="7">
        <v>0.8953989</v>
      </c>
      <c r="W62" s="7">
        <v>0.96694690000000005</v>
      </c>
      <c r="X62" s="7">
        <v>0.98489009999999999</v>
      </c>
      <c r="Y62" s="7">
        <v>0.56566620000000001</v>
      </c>
      <c r="Z62" s="8">
        <v>0.98185</v>
      </c>
      <c r="AA62" s="8">
        <v>1.0175449999999999</v>
      </c>
      <c r="AB62" s="8">
        <v>1.023048</v>
      </c>
      <c r="AC62" s="8">
        <v>0.97498549999999995</v>
      </c>
      <c r="AD62" s="8">
        <v>0.964171</v>
      </c>
    </row>
    <row r="63" spans="1:30">
      <c r="A63" s="22">
        <v>950</v>
      </c>
      <c r="B63" s="22" t="s">
        <v>184</v>
      </c>
      <c r="C63" s="534">
        <v>1.7998749999999999</v>
      </c>
      <c r="D63" s="534">
        <v>1.763374</v>
      </c>
      <c r="E63" s="534">
        <v>1.455419</v>
      </c>
      <c r="F63" s="534">
        <v>1.4516020000000001</v>
      </c>
      <c r="G63" s="534">
        <v>1.5901289999999999</v>
      </c>
      <c r="H63" s="534">
        <v>1.541115</v>
      </c>
      <c r="I63" s="534">
        <v>1.4195869999999999</v>
      </c>
      <c r="J63" s="534">
        <v>1.2629760000000001</v>
      </c>
      <c r="K63" s="534">
        <v>1.2180489999999999</v>
      </c>
      <c r="L63" s="534">
        <v>1.3188040000000001</v>
      </c>
      <c r="M63" s="534">
        <v>1.3141480000000001</v>
      </c>
      <c r="N63" s="7">
        <v>1.348641</v>
      </c>
      <c r="O63" s="7">
        <v>1.3552230000000001</v>
      </c>
      <c r="P63" s="7">
        <v>1.3129200000000001</v>
      </c>
      <c r="Q63" s="7">
        <v>1.2606440000000001</v>
      </c>
      <c r="R63" s="7">
        <v>1.3141640000000001</v>
      </c>
      <c r="S63" s="7">
        <v>1.1993259999999999</v>
      </c>
      <c r="T63" s="7">
        <v>1.245474</v>
      </c>
      <c r="U63" s="7">
        <v>1.272383</v>
      </c>
      <c r="V63" s="7">
        <v>1.4124719999999999</v>
      </c>
      <c r="W63" s="7">
        <v>1.239878</v>
      </c>
      <c r="X63" s="7">
        <v>1.1742900000000001</v>
      </c>
      <c r="Y63" s="7">
        <v>1.101124</v>
      </c>
      <c r="Z63" s="20">
        <v>1.1842839999999999</v>
      </c>
      <c r="AA63" s="20">
        <v>1.2043360000000001</v>
      </c>
      <c r="AB63" s="20">
        <v>1.1715549999999999</v>
      </c>
      <c r="AC63" s="20">
        <v>1.286187</v>
      </c>
      <c r="AD63" s="20">
        <v>1.194831</v>
      </c>
    </row>
    <row r="64" spans="1:30">
      <c r="A64" s="22">
        <v>375</v>
      </c>
      <c r="B64" s="22" t="s">
        <v>76</v>
      </c>
      <c r="C64" s="534">
        <v>0.98090480000000002</v>
      </c>
      <c r="D64" s="534">
        <v>1.0294430000000001</v>
      </c>
      <c r="E64" s="534">
        <v>0.97011139999999996</v>
      </c>
      <c r="F64" s="534">
        <v>0.91237159999999995</v>
      </c>
      <c r="G64" s="534">
        <v>0.9085799</v>
      </c>
      <c r="H64" s="534">
        <v>0.94516469999999997</v>
      </c>
      <c r="I64" s="534">
        <v>0.98403940000000001</v>
      </c>
      <c r="J64" s="534">
        <v>0.89813540000000003</v>
      </c>
      <c r="K64" s="534">
        <v>1.0243660000000001</v>
      </c>
      <c r="L64" s="534">
        <v>1.07961</v>
      </c>
      <c r="M64" s="534">
        <v>1.0084329999999999</v>
      </c>
      <c r="N64" s="7">
        <v>0.58733170000000001</v>
      </c>
      <c r="O64" s="7">
        <v>0.46376509999999999</v>
      </c>
      <c r="P64" s="7">
        <v>0.40496510000000002</v>
      </c>
      <c r="Q64" s="7">
        <v>0.52347149999999998</v>
      </c>
      <c r="R64" s="7">
        <v>0.55504600000000004</v>
      </c>
      <c r="S64" s="7">
        <v>0.69820210000000005</v>
      </c>
      <c r="T64" s="7">
        <v>0.74235340000000005</v>
      </c>
      <c r="U64" s="7">
        <v>1.2138500000000001</v>
      </c>
      <c r="V64" s="7">
        <v>1.178043</v>
      </c>
      <c r="W64" s="7">
        <v>1.3092140000000001</v>
      </c>
      <c r="X64" s="7">
        <v>1.1911229999999999</v>
      </c>
      <c r="Y64" s="7">
        <v>1.236775</v>
      </c>
      <c r="Z64" s="8">
        <v>1.2001679999999999</v>
      </c>
      <c r="AA64" s="8">
        <v>1.1869860000000001</v>
      </c>
      <c r="AB64" s="8">
        <v>1.2055670000000001</v>
      </c>
      <c r="AC64" s="8">
        <v>1.159089</v>
      </c>
      <c r="AD64" s="8">
        <v>1.0380229999999999</v>
      </c>
    </row>
    <row r="65" spans="1:30">
      <c r="A65" s="22">
        <v>220</v>
      </c>
      <c r="B65" s="22" t="s">
        <v>40</v>
      </c>
      <c r="C65" s="534">
        <v>1.109073</v>
      </c>
      <c r="D65" s="534">
        <v>1.055204</v>
      </c>
      <c r="E65" s="534">
        <v>1.053963</v>
      </c>
      <c r="F65" s="534">
        <v>1.055547</v>
      </c>
      <c r="G65" s="534">
        <v>1.198863</v>
      </c>
      <c r="H65" s="534">
        <v>1.217868</v>
      </c>
      <c r="I65" s="534">
        <v>1.03725</v>
      </c>
      <c r="J65" s="534">
        <v>1.087402</v>
      </c>
      <c r="K65" s="534">
        <v>1.062649</v>
      </c>
      <c r="L65" s="534">
        <v>1.0723549999999999</v>
      </c>
      <c r="M65" s="534">
        <v>1.0862639999999999</v>
      </c>
      <c r="N65" s="7">
        <v>1.063456</v>
      </c>
      <c r="O65" s="7">
        <v>1.025579</v>
      </c>
      <c r="P65" s="7">
        <v>1.11941</v>
      </c>
      <c r="Q65" s="7">
        <v>1.1456660000000001</v>
      </c>
      <c r="R65" s="7">
        <v>1.007476</v>
      </c>
      <c r="S65" s="7">
        <v>1.140026</v>
      </c>
      <c r="T65" s="7">
        <v>1.1825559999999999</v>
      </c>
      <c r="U65" s="7">
        <v>1.260923</v>
      </c>
      <c r="V65" s="7">
        <v>1.293466</v>
      </c>
      <c r="W65" s="7">
        <v>1.236953</v>
      </c>
      <c r="X65" s="7">
        <v>1.2482850000000001</v>
      </c>
      <c r="Y65" s="7">
        <v>1.2219869999999999</v>
      </c>
      <c r="Z65" s="8">
        <v>1.188353</v>
      </c>
      <c r="AA65" s="8">
        <v>1.1977850000000001</v>
      </c>
      <c r="AB65" s="8">
        <v>1.242561</v>
      </c>
      <c r="AC65" s="8">
        <v>1.2121740000000001</v>
      </c>
      <c r="AD65" s="8">
        <v>1.1006290000000001</v>
      </c>
    </row>
    <row r="66" spans="1:30">
      <c r="A66" s="22">
        <v>481</v>
      </c>
      <c r="B66" s="22" t="s">
        <v>100</v>
      </c>
      <c r="C66" s="534">
        <v>1.287077</v>
      </c>
      <c r="D66" s="534">
        <v>1.463524</v>
      </c>
      <c r="E66" s="534">
        <v>1.463981</v>
      </c>
      <c r="F66" s="534">
        <v>1.3910359999999999</v>
      </c>
      <c r="G66" s="534">
        <v>1.4143939999999999</v>
      </c>
      <c r="H66" s="534">
        <v>1.4744679999999999</v>
      </c>
      <c r="I66" s="534">
        <v>1.2932790000000001</v>
      </c>
      <c r="J66" s="534">
        <v>1.211651</v>
      </c>
      <c r="K66" s="534">
        <v>1.0632839999999999</v>
      </c>
      <c r="L66" s="534">
        <v>0.82259130000000003</v>
      </c>
      <c r="M66" s="534">
        <v>1.0408459999999999</v>
      </c>
      <c r="N66" s="7">
        <v>1.1369089999999999</v>
      </c>
      <c r="O66" s="7">
        <v>0.90521229999999997</v>
      </c>
      <c r="P66" s="7">
        <v>0.84725740000000005</v>
      </c>
      <c r="Q66" s="7">
        <v>0.7193946</v>
      </c>
      <c r="R66" s="7">
        <v>0.8908507</v>
      </c>
      <c r="S66" s="7">
        <v>0.48298079999999999</v>
      </c>
      <c r="T66" s="7">
        <v>0.59584959999999998</v>
      </c>
      <c r="U66" s="7">
        <v>0.85063029999999995</v>
      </c>
      <c r="V66" s="7">
        <v>0.77338240000000003</v>
      </c>
      <c r="W66" s="7">
        <v>0.48199120000000001</v>
      </c>
      <c r="X66" s="7">
        <v>0.70840389999999998</v>
      </c>
      <c r="Y66" s="7">
        <v>0.45391480000000001</v>
      </c>
      <c r="Z66" s="8">
        <v>0.78369299999999997</v>
      </c>
      <c r="AA66" s="8">
        <v>0.6584622</v>
      </c>
      <c r="AB66" s="8">
        <v>0.64560839999999997</v>
      </c>
      <c r="AC66" s="8">
        <v>0.57814690000000002</v>
      </c>
      <c r="AD66" s="8">
        <v>0.62597159999999996</v>
      </c>
    </row>
    <row r="67" spans="1:30">
      <c r="A67" s="22">
        <v>420</v>
      </c>
      <c r="B67" s="22" t="s">
        <v>85</v>
      </c>
      <c r="C67" s="534">
        <v>1.934428</v>
      </c>
      <c r="D67" s="534">
        <v>1.2484029999999999</v>
      </c>
      <c r="E67" s="534">
        <v>1.4108579999999999</v>
      </c>
      <c r="F67" s="534">
        <v>1.3744529999999999</v>
      </c>
      <c r="G67" s="534">
        <v>1.5181260000000001</v>
      </c>
      <c r="H67" s="534">
        <v>1.5780320000000001</v>
      </c>
      <c r="I67" s="534">
        <v>1.8636269999999999</v>
      </c>
      <c r="J67" s="534">
        <v>1.0904959999999999</v>
      </c>
      <c r="K67" s="534">
        <v>1.0987739999999999</v>
      </c>
      <c r="L67" s="534">
        <v>1.146898</v>
      </c>
      <c r="M67" s="534">
        <v>1.2157020000000001</v>
      </c>
      <c r="N67" s="7">
        <v>1.252683</v>
      </c>
      <c r="O67" s="7">
        <v>1.283425</v>
      </c>
      <c r="P67" s="7">
        <v>1.542249</v>
      </c>
      <c r="Q67" s="7">
        <v>1.172158</v>
      </c>
      <c r="R67" s="7">
        <v>1.142215</v>
      </c>
      <c r="S67" s="7">
        <v>1.1169020000000001</v>
      </c>
      <c r="T67" s="7">
        <v>1.116652</v>
      </c>
      <c r="U67" s="7">
        <v>1.0416069999999999</v>
      </c>
      <c r="V67" s="7">
        <v>1.01468</v>
      </c>
      <c r="W67" s="7">
        <v>1.1015459999999999</v>
      </c>
      <c r="X67" s="7">
        <v>1.2417940000000001</v>
      </c>
      <c r="Y67" s="7">
        <v>1.0551569999999999</v>
      </c>
      <c r="Z67" s="8">
        <v>1.220464</v>
      </c>
      <c r="AA67" s="8">
        <v>1.218413</v>
      </c>
      <c r="AB67" s="8">
        <v>1.208194</v>
      </c>
      <c r="AC67" s="8">
        <v>1.292278</v>
      </c>
      <c r="AD67" s="8">
        <v>1.2629729999999999</v>
      </c>
    </row>
    <row r="68" spans="1:30">
      <c r="A68" s="22">
        <v>372</v>
      </c>
      <c r="B68" s="22" t="s">
        <v>74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7"/>
      <c r="O68" s="7"/>
      <c r="P68" s="7"/>
      <c r="Q68" s="7"/>
      <c r="R68" s="7"/>
      <c r="S68" s="7"/>
      <c r="T68" s="7">
        <v>0.69598930000000003</v>
      </c>
      <c r="U68" s="7">
        <v>0.51657330000000001</v>
      </c>
      <c r="V68" s="7">
        <v>0.65785309999999997</v>
      </c>
      <c r="W68" s="7">
        <v>0.53953150000000005</v>
      </c>
      <c r="X68" s="7">
        <v>0.50464039999999999</v>
      </c>
      <c r="Y68" s="7">
        <v>0.49919740000000001</v>
      </c>
      <c r="Z68" s="8">
        <v>0.4739062</v>
      </c>
      <c r="AA68" s="8">
        <v>0.66647610000000002</v>
      </c>
      <c r="AB68" s="8">
        <v>0.80409540000000002</v>
      </c>
      <c r="AC68" s="8">
        <v>1.085588</v>
      </c>
      <c r="AD68" s="8">
        <v>1.026659</v>
      </c>
    </row>
    <row r="69" spans="1:30">
      <c r="A69" s="22">
        <v>255</v>
      </c>
      <c r="B69" s="22" t="s">
        <v>47</v>
      </c>
      <c r="C69" s="534">
        <v>0.47824810000000001</v>
      </c>
      <c r="D69" s="534">
        <v>0.45064850000000001</v>
      </c>
      <c r="E69" s="534">
        <v>0.440909</v>
      </c>
      <c r="F69" s="534">
        <v>0.41977320000000001</v>
      </c>
      <c r="G69" s="534">
        <v>0.43153429999999998</v>
      </c>
      <c r="H69" s="534">
        <v>0.45000269999999998</v>
      </c>
      <c r="I69" s="534">
        <v>0.45594309999999999</v>
      </c>
      <c r="J69" s="534">
        <v>0.46486440000000001</v>
      </c>
      <c r="K69" s="534">
        <v>0.47057100000000002</v>
      </c>
      <c r="L69" s="534">
        <v>0.50534069999999998</v>
      </c>
      <c r="M69" s="534">
        <v>0.49320009999999997</v>
      </c>
      <c r="N69" s="7">
        <v>0.74969669999999999</v>
      </c>
      <c r="O69" s="7">
        <v>0.78225060000000002</v>
      </c>
      <c r="P69" s="7">
        <v>0.85174000000000005</v>
      </c>
      <c r="Q69" s="7">
        <v>0.78479829999999995</v>
      </c>
      <c r="R69" s="7">
        <v>0.57980909999999997</v>
      </c>
      <c r="S69" s="7">
        <v>0.54308339999999999</v>
      </c>
      <c r="T69" s="7">
        <v>0.52565189999999995</v>
      </c>
      <c r="U69" s="7">
        <v>0.53288029999999997</v>
      </c>
      <c r="V69" s="7">
        <v>0.58677539999999995</v>
      </c>
      <c r="W69" s="7">
        <v>0.57788399999999995</v>
      </c>
      <c r="X69" s="7">
        <v>0.54615899999999995</v>
      </c>
      <c r="Y69" s="7">
        <v>0.54111640000000005</v>
      </c>
      <c r="Z69" s="8">
        <v>0.54583559999999998</v>
      </c>
      <c r="AA69" s="8">
        <v>0.49073559999999999</v>
      </c>
      <c r="AB69" s="8">
        <v>0.48817630000000001</v>
      </c>
      <c r="AC69" s="8">
        <v>0.49611090000000002</v>
      </c>
      <c r="AD69" s="8">
        <v>0.5227001</v>
      </c>
    </row>
    <row r="70" spans="1:30">
      <c r="A70" s="22">
        <v>452</v>
      </c>
      <c r="B70" s="22" t="s">
        <v>96</v>
      </c>
      <c r="C70" s="534">
        <v>0.51287300000000002</v>
      </c>
      <c r="D70" s="534">
        <v>0.88365830000000001</v>
      </c>
      <c r="E70" s="534">
        <v>0.85266189999999997</v>
      </c>
      <c r="F70" s="534">
        <v>1.0587310000000001</v>
      </c>
      <c r="G70" s="534">
        <v>0.55228619999999995</v>
      </c>
      <c r="H70" s="534">
        <v>0.75853000000000004</v>
      </c>
      <c r="I70" s="534">
        <v>0.97249960000000002</v>
      </c>
      <c r="J70" s="534">
        <v>0.98685060000000002</v>
      </c>
      <c r="K70" s="534">
        <v>0.97901099999999996</v>
      </c>
      <c r="L70" s="534">
        <v>1.0190060000000001</v>
      </c>
      <c r="M70" s="534">
        <v>0.80845270000000002</v>
      </c>
      <c r="N70" s="7">
        <v>0.93538399999999999</v>
      </c>
      <c r="O70" s="7">
        <v>0.7275026</v>
      </c>
      <c r="P70" s="7">
        <v>0.83495260000000004</v>
      </c>
      <c r="Q70" s="7">
        <v>1.1112500000000001</v>
      </c>
      <c r="R70" s="7">
        <v>0.99857629999999997</v>
      </c>
      <c r="S70" s="7">
        <v>1.13775</v>
      </c>
      <c r="T70" s="7">
        <v>1.0184500000000001</v>
      </c>
      <c r="U70" s="7">
        <v>1.1391659999999999</v>
      </c>
      <c r="V70" s="7">
        <v>1.1977070000000001</v>
      </c>
      <c r="W70" s="7">
        <v>0.94199529999999998</v>
      </c>
      <c r="X70" s="7">
        <v>0.84544799999999998</v>
      </c>
      <c r="Y70" s="7">
        <v>0.86503319999999995</v>
      </c>
      <c r="Z70" s="8">
        <v>1.0941369999999999</v>
      </c>
      <c r="AA70" s="8">
        <v>1.272098</v>
      </c>
      <c r="AB70" s="8">
        <v>1.1518600000000001</v>
      </c>
      <c r="AC70" s="8">
        <v>1.136155</v>
      </c>
      <c r="AD70" s="8">
        <v>1.1565080000000001</v>
      </c>
    </row>
    <row r="71" spans="1:30">
      <c r="A71" s="22">
        <v>350</v>
      </c>
      <c r="B71" s="22" t="s">
        <v>62</v>
      </c>
      <c r="C71" s="534">
        <v>1.1185229999999999</v>
      </c>
      <c r="D71" s="534">
        <v>0.98837520000000001</v>
      </c>
      <c r="E71" s="534">
        <v>1.0608420000000001</v>
      </c>
      <c r="F71" s="534">
        <v>1.2794460000000001</v>
      </c>
      <c r="G71" s="534">
        <v>1.1371039999999999</v>
      </c>
      <c r="H71" s="534">
        <v>1.1117220000000001</v>
      </c>
      <c r="I71" s="534">
        <v>1.2523029999999999</v>
      </c>
      <c r="J71" s="534">
        <v>1.3072790000000001</v>
      </c>
      <c r="K71" s="534">
        <v>0.87194139999999998</v>
      </c>
      <c r="L71" s="534">
        <v>0.73590949999999999</v>
      </c>
      <c r="M71" s="534">
        <v>0.75663480000000005</v>
      </c>
      <c r="N71" s="7">
        <v>0.80451260000000002</v>
      </c>
      <c r="O71" s="7">
        <v>0.58873750000000002</v>
      </c>
      <c r="P71" s="7">
        <v>0.84465129999999999</v>
      </c>
      <c r="Q71" s="7">
        <v>0.66108299999999998</v>
      </c>
      <c r="R71" s="7">
        <v>0.99181969999999997</v>
      </c>
      <c r="S71" s="7">
        <v>1.022386</v>
      </c>
      <c r="T71" s="7">
        <v>1.0872280000000001</v>
      </c>
      <c r="U71" s="7">
        <v>1.1915279999999999</v>
      </c>
      <c r="V71" s="7">
        <v>1.210037</v>
      </c>
      <c r="W71" s="7">
        <v>1.269984</v>
      </c>
      <c r="X71" s="7">
        <v>1.163643</v>
      </c>
      <c r="Y71" s="7">
        <v>1.103529</v>
      </c>
      <c r="Z71" s="8">
        <v>1.045139</v>
      </c>
      <c r="AA71" s="8">
        <v>1.0167619999999999</v>
      </c>
      <c r="AB71" s="8">
        <v>1.021414</v>
      </c>
      <c r="AC71" s="8">
        <v>1.092455</v>
      </c>
      <c r="AD71" s="8">
        <v>1.0798160000000001</v>
      </c>
    </row>
    <row r="72" spans="1:30">
      <c r="A72" s="22">
        <v>90</v>
      </c>
      <c r="B72" s="22" t="s">
        <v>17</v>
      </c>
      <c r="C72" s="534">
        <v>0.77945790000000004</v>
      </c>
      <c r="D72" s="534">
        <v>0.73564980000000002</v>
      </c>
      <c r="E72" s="534">
        <v>0.69827479999999997</v>
      </c>
      <c r="F72" s="534">
        <v>0.62531899999999996</v>
      </c>
      <c r="G72" s="534">
        <v>0.38377450000000002</v>
      </c>
      <c r="H72" s="534">
        <v>0.43356850000000002</v>
      </c>
      <c r="I72" s="534">
        <v>0.58171580000000001</v>
      </c>
      <c r="J72" s="534">
        <v>0.60371280000000005</v>
      </c>
      <c r="K72" s="534">
        <v>0.69575640000000005</v>
      </c>
      <c r="L72" s="534">
        <v>0.53878179999999998</v>
      </c>
      <c r="M72" s="534">
        <v>0.481908</v>
      </c>
      <c r="N72" s="7">
        <v>0.52575910000000003</v>
      </c>
      <c r="O72" s="7">
        <v>0.59650360000000002</v>
      </c>
      <c r="P72" s="7">
        <v>0.55653359999999996</v>
      </c>
      <c r="Q72" s="7">
        <v>0.480547</v>
      </c>
      <c r="R72" s="7">
        <v>0.53809300000000004</v>
      </c>
      <c r="S72" s="7">
        <v>0.59360120000000005</v>
      </c>
      <c r="T72" s="7">
        <v>0.6047323</v>
      </c>
      <c r="U72" s="7">
        <v>0.60387919999999995</v>
      </c>
      <c r="V72" s="7">
        <v>0.66571519999999995</v>
      </c>
      <c r="W72" s="7">
        <v>0.65561599999999998</v>
      </c>
      <c r="X72" s="7">
        <v>0.78496030000000006</v>
      </c>
      <c r="Y72" s="7">
        <v>0.81395390000000001</v>
      </c>
      <c r="Z72" s="19"/>
      <c r="AA72" s="19"/>
      <c r="AB72" s="19"/>
      <c r="AC72" s="19"/>
      <c r="AD72" s="8">
        <v>0.89265130000000004</v>
      </c>
    </row>
    <row r="73" spans="1:30">
      <c r="A73" s="22">
        <v>438</v>
      </c>
      <c r="B73" s="22" t="s">
        <v>92</v>
      </c>
      <c r="C73" s="534">
        <v>1.8300320000000001</v>
      </c>
      <c r="D73" s="534">
        <v>1.874412</v>
      </c>
      <c r="E73" s="534">
        <v>2.4144549999999998</v>
      </c>
      <c r="F73" s="534">
        <v>1.0810420000000001</v>
      </c>
      <c r="G73" s="534">
        <v>0.92301449999999996</v>
      </c>
      <c r="H73" s="534">
        <v>0.94407370000000002</v>
      </c>
      <c r="I73" s="534">
        <v>0.79570249999999998</v>
      </c>
      <c r="J73" s="534">
        <v>0.78832009999999997</v>
      </c>
      <c r="K73" s="534">
        <v>0.74315929999999997</v>
      </c>
      <c r="L73" s="534">
        <v>0.70204580000000005</v>
      </c>
      <c r="M73" s="534">
        <v>0.46442260000000002</v>
      </c>
      <c r="N73" s="7">
        <v>0.45448929999999998</v>
      </c>
      <c r="O73" s="7">
        <v>0.64418030000000004</v>
      </c>
      <c r="P73" s="7">
        <v>0.67859020000000003</v>
      </c>
      <c r="Q73" s="7">
        <v>0.68741609999999997</v>
      </c>
      <c r="R73" s="7">
        <v>0.69029549999999995</v>
      </c>
      <c r="S73" s="7">
        <v>0.7100706</v>
      </c>
      <c r="T73" s="7">
        <v>0.73324560000000005</v>
      </c>
      <c r="U73" s="7">
        <v>0.60387550000000001</v>
      </c>
      <c r="V73" s="7">
        <v>0.59586550000000005</v>
      </c>
      <c r="W73" s="7">
        <v>0.51818969999999998</v>
      </c>
      <c r="X73" s="7">
        <v>0.48076659999999999</v>
      </c>
      <c r="Y73" s="7">
        <v>0.54504379999999997</v>
      </c>
      <c r="Z73" s="8">
        <v>0.5367944</v>
      </c>
      <c r="AA73" s="8">
        <v>0.51388389999999995</v>
      </c>
      <c r="AB73" s="8">
        <v>0.57427229999999996</v>
      </c>
      <c r="AC73" s="8">
        <v>0.5106155</v>
      </c>
      <c r="AD73" s="8">
        <v>0.5738065</v>
      </c>
    </row>
    <row r="74" spans="1:30">
      <c r="A74" s="22">
        <v>404</v>
      </c>
      <c r="B74" s="22" t="s">
        <v>83</v>
      </c>
      <c r="C74" s="534">
        <v>0.83419679999999996</v>
      </c>
      <c r="D74" s="534">
        <v>1.037714</v>
      </c>
      <c r="E74" s="534">
        <v>0.83748250000000002</v>
      </c>
      <c r="F74" s="534">
        <v>0.96616690000000005</v>
      </c>
      <c r="G74" s="534">
        <v>0.39671489999999998</v>
      </c>
      <c r="H74" s="534">
        <v>0.7305104</v>
      </c>
      <c r="I74" s="534">
        <v>0.65298999999999996</v>
      </c>
      <c r="J74" s="534">
        <v>0.3552881</v>
      </c>
      <c r="K74" s="534">
        <v>0.5888736</v>
      </c>
      <c r="L74" s="534">
        <v>0.62551040000000002</v>
      </c>
      <c r="M74" s="534">
        <v>0.72151659999999995</v>
      </c>
      <c r="N74" s="7">
        <v>0.98021420000000004</v>
      </c>
      <c r="O74" s="7">
        <v>0.82558670000000001</v>
      </c>
      <c r="P74" s="7">
        <v>0.73900180000000004</v>
      </c>
      <c r="Q74" s="7">
        <v>0.94415899999999997</v>
      </c>
      <c r="R74" s="7">
        <v>0.98771180000000003</v>
      </c>
      <c r="S74" s="7">
        <v>1.011625</v>
      </c>
      <c r="T74" s="7">
        <v>0.59849209999999997</v>
      </c>
      <c r="U74" s="7">
        <v>0.28932930000000001</v>
      </c>
      <c r="V74" s="7">
        <v>0.83473710000000001</v>
      </c>
      <c r="W74" s="7">
        <v>0.78876630000000003</v>
      </c>
      <c r="X74" s="7">
        <v>0.67823979999999995</v>
      </c>
      <c r="Y74" s="7">
        <v>0.57990980000000003</v>
      </c>
      <c r="Z74" s="20">
        <v>0.58605839999999998</v>
      </c>
      <c r="AA74" s="20">
        <v>0.54743810000000004</v>
      </c>
      <c r="AB74" s="20">
        <v>0.75491019999999998</v>
      </c>
      <c r="AC74" s="20">
        <v>1.056495</v>
      </c>
      <c r="AD74" s="8">
        <v>1.089094</v>
      </c>
    </row>
    <row r="75" spans="1:30">
      <c r="A75" s="22">
        <v>110</v>
      </c>
      <c r="B75" s="22" t="s">
        <v>25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>
      <c r="A76" s="22">
        <v>41</v>
      </c>
      <c r="B76" s="22" t="s">
        <v>4</v>
      </c>
      <c r="C76" s="534">
        <v>0.71936869999999997</v>
      </c>
      <c r="D76" s="534">
        <v>0.59188850000000004</v>
      </c>
      <c r="E76" s="534">
        <v>0.92329320000000004</v>
      </c>
      <c r="F76" s="534">
        <v>1.109667</v>
      </c>
      <c r="G76" s="534">
        <v>1.1739850000000001</v>
      </c>
      <c r="H76" s="534">
        <v>1.293547</v>
      </c>
      <c r="I76" s="534">
        <v>0.98751699999999998</v>
      </c>
      <c r="J76" s="534">
        <v>0.74678120000000003</v>
      </c>
      <c r="K76" s="534">
        <v>0.66049590000000002</v>
      </c>
      <c r="L76" s="534">
        <v>0.63816580000000001</v>
      </c>
      <c r="M76" s="534">
        <v>0.58968880000000001</v>
      </c>
      <c r="N76" s="7">
        <v>0.53972390000000003</v>
      </c>
      <c r="O76" s="7">
        <v>0.5160285</v>
      </c>
      <c r="P76" s="7">
        <v>0.46067380000000002</v>
      </c>
      <c r="Q76" s="7">
        <v>0.47443930000000001</v>
      </c>
      <c r="R76" s="7">
        <v>0.53619589999999995</v>
      </c>
      <c r="S76" s="7">
        <v>0.44453900000000002</v>
      </c>
      <c r="T76" s="7">
        <v>0.51303759999999998</v>
      </c>
      <c r="U76" s="7">
        <v>0.50494220000000001</v>
      </c>
      <c r="V76" s="7">
        <v>0.52625270000000002</v>
      </c>
      <c r="W76" s="7">
        <v>0.46327259999999998</v>
      </c>
      <c r="X76" s="7">
        <v>0.55590620000000002</v>
      </c>
      <c r="Y76" s="7">
        <v>0.50152839999999999</v>
      </c>
      <c r="Z76" s="8">
        <v>0.48592920000000001</v>
      </c>
      <c r="AA76" s="8">
        <v>0.45307340000000002</v>
      </c>
      <c r="AB76" s="8">
        <v>0.44334689999999999</v>
      </c>
      <c r="AC76" s="8">
        <v>0.34166489999999999</v>
      </c>
      <c r="AD76" s="8">
        <v>0.3996479</v>
      </c>
    </row>
    <row r="77" spans="1:30">
      <c r="A77" s="22">
        <v>91</v>
      </c>
      <c r="B77" s="22" t="s">
        <v>18</v>
      </c>
      <c r="C77" s="534">
        <v>1.242693</v>
      </c>
      <c r="D77" s="534">
        <v>1.08178</v>
      </c>
      <c r="E77" s="534">
        <v>1.0795630000000001</v>
      </c>
      <c r="F77" s="534">
        <v>1.0814250000000001</v>
      </c>
      <c r="G77" s="534">
        <v>1.248254</v>
      </c>
      <c r="H77" s="534">
        <v>1.335399</v>
      </c>
      <c r="I77" s="534">
        <v>1.298125</v>
      </c>
      <c r="J77" s="534">
        <v>1.233466</v>
      </c>
      <c r="K77" s="534">
        <v>1.1755899999999999</v>
      </c>
      <c r="L77" s="534">
        <v>1.0577490000000001</v>
      </c>
      <c r="M77" s="534">
        <v>0.98929690000000003</v>
      </c>
      <c r="N77" s="7">
        <v>1.2757149999999999</v>
      </c>
      <c r="O77" s="7">
        <v>1.4868209999999999</v>
      </c>
      <c r="P77" s="7">
        <v>1.4468019999999999</v>
      </c>
      <c r="Q77" s="7">
        <v>1.024303</v>
      </c>
      <c r="R77" s="7">
        <v>1.0003599999999999</v>
      </c>
      <c r="S77" s="7">
        <v>0.81847099999999995</v>
      </c>
      <c r="T77" s="7">
        <v>0.81730910000000001</v>
      </c>
      <c r="U77" s="7">
        <v>1.0276970000000001</v>
      </c>
      <c r="V77" s="7">
        <v>1.04945</v>
      </c>
      <c r="W77" s="7">
        <v>0.96134439999999999</v>
      </c>
      <c r="X77" s="7">
        <v>1.0332410000000001</v>
      </c>
      <c r="Y77" s="7">
        <v>1.0205200000000001</v>
      </c>
      <c r="Z77" s="8">
        <v>0.93045770000000005</v>
      </c>
      <c r="AA77" s="8">
        <v>0.83482650000000003</v>
      </c>
      <c r="AB77" s="8">
        <v>0.83661140000000001</v>
      </c>
      <c r="AC77" s="8">
        <v>0.86397219999999997</v>
      </c>
      <c r="AD77" s="8">
        <v>1.0021009999999999</v>
      </c>
    </row>
    <row r="78" spans="1:30">
      <c r="A78" s="22">
        <v>310</v>
      </c>
      <c r="B78" s="22" t="s">
        <v>50</v>
      </c>
      <c r="C78" s="22"/>
      <c r="D78" s="534">
        <v>1.844347</v>
      </c>
      <c r="E78" s="534">
        <v>1.6965349999999999</v>
      </c>
      <c r="F78" s="534">
        <v>1.908887</v>
      </c>
      <c r="G78" s="534">
        <v>1.45458</v>
      </c>
      <c r="H78" s="534">
        <v>0.99479399999999996</v>
      </c>
      <c r="I78" s="534">
        <v>1.3096669999999999</v>
      </c>
      <c r="J78" s="534">
        <v>1.4652000000000001</v>
      </c>
      <c r="K78" s="534">
        <v>1.284932</v>
      </c>
      <c r="L78" s="534">
        <v>0.71031080000000002</v>
      </c>
      <c r="M78" s="534">
        <v>0.64210560000000005</v>
      </c>
      <c r="N78" s="7">
        <v>0.50602740000000002</v>
      </c>
      <c r="O78" s="7">
        <v>0.46692250000000002</v>
      </c>
      <c r="P78" s="7">
        <v>0.63344979999999995</v>
      </c>
      <c r="Q78" s="7">
        <v>0.5424852</v>
      </c>
      <c r="R78" s="7">
        <v>0.36591170000000001</v>
      </c>
      <c r="S78" s="7">
        <v>0.70275860000000001</v>
      </c>
      <c r="T78" s="7">
        <v>0.52518989999999999</v>
      </c>
      <c r="U78" s="7">
        <v>0.41650389999999998</v>
      </c>
      <c r="V78" s="7">
        <v>0.43172729999999998</v>
      </c>
      <c r="W78" s="7">
        <v>0.3920148</v>
      </c>
      <c r="X78" s="7">
        <v>0.36008780000000001</v>
      </c>
      <c r="Y78" s="7">
        <v>0.33001390000000003</v>
      </c>
      <c r="Z78" s="8">
        <v>0.50308410000000003</v>
      </c>
      <c r="AA78" s="8">
        <v>0.51410250000000002</v>
      </c>
      <c r="AB78" s="8">
        <v>0.47548289999999999</v>
      </c>
      <c r="AC78" s="8">
        <v>0.47173759999999998</v>
      </c>
      <c r="AD78" s="8">
        <v>0.51025430000000005</v>
      </c>
    </row>
    <row r="79" spans="1:30">
      <c r="A79" s="22">
        <v>395</v>
      </c>
      <c r="B79" s="22" t="s">
        <v>80</v>
      </c>
      <c r="C79" s="534">
        <v>1.0948899999999999</v>
      </c>
      <c r="D79" s="534">
        <v>1.1290210000000001</v>
      </c>
      <c r="E79" s="534">
        <v>1.099837</v>
      </c>
      <c r="F79" s="534">
        <v>0.97674439999999996</v>
      </c>
      <c r="G79" s="534">
        <v>1.020475</v>
      </c>
      <c r="H79" s="534">
        <v>0.95368339999999996</v>
      </c>
      <c r="I79" s="534">
        <v>0.96759340000000005</v>
      </c>
      <c r="J79" s="534">
        <v>0.96974760000000004</v>
      </c>
      <c r="K79" s="534">
        <v>1.045013</v>
      </c>
      <c r="L79" s="534">
        <v>1.0591489999999999</v>
      </c>
      <c r="M79" s="534">
        <v>1.0960639999999999</v>
      </c>
      <c r="N79" s="7">
        <v>1.082757</v>
      </c>
      <c r="O79" s="7">
        <v>1.058438</v>
      </c>
      <c r="P79" s="7">
        <v>0.97848990000000002</v>
      </c>
      <c r="Q79" s="7">
        <v>0.94480960000000003</v>
      </c>
      <c r="R79" s="7">
        <v>0.95175529999999997</v>
      </c>
      <c r="S79" s="7">
        <v>0.96790589999999999</v>
      </c>
      <c r="T79" s="7">
        <v>1.2927569999999999</v>
      </c>
      <c r="U79" s="7">
        <v>1.405294</v>
      </c>
      <c r="V79" s="7">
        <v>1.53718</v>
      </c>
      <c r="W79" s="7">
        <v>1.502958</v>
      </c>
      <c r="X79" s="7">
        <v>1.3526899999999999</v>
      </c>
      <c r="Y79" s="7">
        <v>1.344509</v>
      </c>
      <c r="Z79" s="8">
        <v>1.400488</v>
      </c>
      <c r="AA79" s="8">
        <v>1.4861070000000001</v>
      </c>
      <c r="AB79" s="8">
        <v>1.653629</v>
      </c>
      <c r="AC79" s="8">
        <v>1.7093449999999999</v>
      </c>
      <c r="AD79" s="8">
        <v>1.3731040000000001</v>
      </c>
    </row>
    <row r="80" spans="1:30">
      <c r="A80" s="22">
        <v>750</v>
      </c>
      <c r="B80" s="22" t="s">
        <v>160</v>
      </c>
      <c r="C80" s="534">
        <v>0.79555690000000001</v>
      </c>
      <c r="D80" s="534">
        <v>0.81863339999999996</v>
      </c>
      <c r="E80" s="534">
        <v>0.81735460000000004</v>
      </c>
      <c r="F80" s="534">
        <v>0.81753699999999996</v>
      </c>
      <c r="G80" s="534">
        <v>0.82018860000000005</v>
      </c>
      <c r="H80" s="534">
        <v>0.89694649999999998</v>
      </c>
      <c r="I80" s="534">
        <v>0.92785450000000003</v>
      </c>
      <c r="J80" s="534">
        <v>0.9322878</v>
      </c>
      <c r="K80" s="534">
        <v>0.91418160000000004</v>
      </c>
      <c r="L80" s="534">
        <v>0.91511089999999995</v>
      </c>
      <c r="M80" s="534">
        <v>0.83688739999999995</v>
      </c>
      <c r="N80" s="7">
        <v>0.83913179999999998</v>
      </c>
      <c r="O80" s="7">
        <v>0.79920659999999999</v>
      </c>
      <c r="P80" s="7">
        <v>0.68427579999999999</v>
      </c>
      <c r="Q80" s="7">
        <v>0.72297109999999998</v>
      </c>
      <c r="R80" s="7">
        <v>0.733649</v>
      </c>
      <c r="S80" s="7">
        <v>0.75346999999999997</v>
      </c>
      <c r="T80" s="7">
        <v>0.73419009999999996</v>
      </c>
      <c r="U80" s="7">
        <v>0.64842520000000003</v>
      </c>
      <c r="V80" s="7">
        <v>0.70023849999999999</v>
      </c>
      <c r="W80" s="7">
        <v>0.68465989999999999</v>
      </c>
      <c r="X80" s="7">
        <v>0.63372530000000005</v>
      </c>
      <c r="Y80" s="7">
        <v>0.68006889999999998</v>
      </c>
      <c r="Z80" s="8">
        <v>0.66710290000000005</v>
      </c>
      <c r="AA80" s="8">
        <v>0.67465459999999999</v>
      </c>
      <c r="AB80" s="8">
        <v>0.6897761</v>
      </c>
      <c r="AC80" s="8">
        <v>0.69206829999999997</v>
      </c>
      <c r="AD80" s="8">
        <v>0.70893379999999995</v>
      </c>
    </row>
    <row r="81" spans="1:30">
      <c r="A81" s="22">
        <v>850</v>
      </c>
      <c r="B81" s="22" t="s">
        <v>176</v>
      </c>
      <c r="C81" s="534">
        <v>1.4865930000000001</v>
      </c>
      <c r="D81" s="534">
        <v>1.4087339999999999</v>
      </c>
      <c r="E81" s="534">
        <v>1.3560730000000001</v>
      </c>
      <c r="F81" s="534">
        <v>1.241805</v>
      </c>
      <c r="G81" s="534">
        <v>1.1935450000000001</v>
      </c>
      <c r="H81" s="534">
        <v>1.3300700000000001</v>
      </c>
      <c r="I81" s="534">
        <v>1.001879</v>
      </c>
      <c r="J81" s="534">
        <v>1.0571109999999999</v>
      </c>
      <c r="K81" s="534">
        <v>1.0582590000000001</v>
      </c>
      <c r="L81" s="534">
        <v>1.089027</v>
      </c>
      <c r="M81" s="534">
        <v>1.300292</v>
      </c>
      <c r="N81" s="7">
        <v>1.1417729999999999</v>
      </c>
      <c r="O81" s="7">
        <v>1.146749</v>
      </c>
      <c r="P81" s="7">
        <v>1.0592490000000001</v>
      </c>
      <c r="Q81" s="7">
        <v>1.1827449999999999</v>
      </c>
      <c r="R81" s="7">
        <v>1.106833</v>
      </c>
      <c r="S81" s="7">
        <v>1.057952</v>
      </c>
      <c r="T81" s="7">
        <v>1.1712</v>
      </c>
      <c r="U81" s="7">
        <v>0.94549079999999996</v>
      </c>
      <c r="V81" s="7">
        <v>1.0437700000000001</v>
      </c>
      <c r="W81" s="7">
        <v>0.91894050000000005</v>
      </c>
      <c r="X81" s="7">
        <v>1.042524</v>
      </c>
      <c r="Y81" s="7">
        <v>0.97471859999999999</v>
      </c>
      <c r="Z81" s="8">
        <v>1.0115240000000001</v>
      </c>
      <c r="AA81" s="8">
        <v>1.0795840000000001</v>
      </c>
      <c r="AB81" s="8">
        <v>1.0254570000000001</v>
      </c>
      <c r="AC81" s="8">
        <v>1.058724</v>
      </c>
      <c r="AD81" s="8">
        <v>0.94577999999999995</v>
      </c>
    </row>
    <row r="82" spans="1:30">
      <c r="A82" s="22">
        <v>630</v>
      </c>
      <c r="B82" s="22" t="s">
        <v>133</v>
      </c>
      <c r="C82" s="534">
        <v>0.368483</v>
      </c>
      <c r="D82" s="534">
        <v>0.45941100000000001</v>
      </c>
      <c r="E82" s="534">
        <v>0.37890000000000001</v>
      </c>
      <c r="F82" s="534">
        <v>0.38636120000000002</v>
      </c>
      <c r="G82" s="534">
        <v>0.4668467</v>
      </c>
      <c r="H82" s="534">
        <v>0.56700510000000004</v>
      </c>
      <c r="I82" s="534">
        <v>0.50645320000000005</v>
      </c>
      <c r="J82" s="534">
        <v>0.42808879999999999</v>
      </c>
      <c r="K82" s="534">
        <v>0.37851420000000002</v>
      </c>
      <c r="L82" s="534">
        <v>0.37438890000000002</v>
      </c>
      <c r="M82" s="534">
        <v>0.54885519999999999</v>
      </c>
      <c r="N82" s="7">
        <v>0.57795300000000005</v>
      </c>
      <c r="O82" s="7">
        <v>0.63945149999999995</v>
      </c>
      <c r="P82" s="7">
        <v>0.21640290000000001</v>
      </c>
      <c r="Q82" s="7">
        <v>0.31371080000000001</v>
      </c>
      <c r="R82" s="7">
        <v>0.47332930000000001</v>
      </c>
      <c r="S82" s="7">
        <v>0.62334129999999999</v>
      </c>
      <c r="T82" s="7">
        <v>0.85717149999999998</v>
      </c>
      <c r="U82" s="7">
        <v>0.82007759999999996</v>
      </c>
      <c r="V82" s="7">
        <v>1.0582940000000001</v>
      </c>
      <c r="W82" s="7">
        <v>0.86614020000000003</v>
      </c>
      <c r="X82" s="7">
        <v>0.89640949999999997</v>
      </c>
      <c r="Y82" s="7">
        <v>0.96051560000000002</v>
      </c>
      <c r="Z82" s="8">
        <v>0.98604060000000004</v>
      </c>
      <c r="AA82" s="8">
        <v>1.064816</v>
      </c>
      <c r="AB82" s="8">
        <v>1.5719810000000001</v>
      </c>
      <c r="AC82" s="8">
        <v>1.467095</v>
      </c>
      <c r="AD82" s="8">
        <v>1.3656630000000001</v>
      </c>
    </row>
    <row r="83" spans="1:30">
      <c r="A83" s="22">
        <v>645</v>
      </c>
      <c r="B83" s="22" t="s">
        <v>135</v>
      </c>
      <c r="C83" s="534">
        <v>0.91371939999999996</v>
      </c>
      <c r="D83" s="534">
        <v>0.98175009999999996</v>
      </c>
      <c r="E83" s="534">
        <v>1.0639970000000001</v>
      </c>
      <c r="F83" s="534">
        <v>0.57278189999999995</v>
      </c>
      <c r="G83" s="534">
        <v>0.65442999999999996</v>
      </c>
      <c r="H83" s="534">
        <v>0.6949843</v>
      </c>
      <c r="I83" s="534">
        <v>0.69471830000000001</v>
      </c>
      <c r="J83" s="534">
        <v>0.80229399999999995</v>
      </c>
      <c r="K83" s="534">
        <v>0.7755377</v>
      </c>
      <c r="L83" s="534">
        <v>0.78314059999999996</v>
      </c>
      <c r="M83" s="534">
        <v>0.91338620000000004</v>
      </c>
      <c r="N83" s="7">
        <v>1.188337</v>
      </c>
      <c r="O83" s="7">
        <v>1.2958689999999999</v>
      </c>
      <c r="P83" s="7">
        <v>1.2605459999999999</v>
      </c>
      <c r="Q83" s="7">
        <v>1.189648</v>
      </c>
      <c r="R83" s="7">
        <v>1.082462</v>
      </c>
      <c r="S83" s="7">
        <v>0.73680909999999999</v>
      </c>
      <c r="T83" s="7">
        <v>0.58272360000000001</v>
      </c>
      <c r="U83" s="7">
        <v>0.56243739999999998</v>
      </c>
      <c r="V83" s="7">
        <v>0.48013679999999997</v>
      </c>
      <c r="W83" s="7">
        <v>0.4230429</v>
      </c>
      <c r="X83" s="7">
        <v>0.43882969999999999</v>
      </c>
      <c r="Y83" s="7">
        <v>0.47654560000000001</v>
      </c>
      <c r="Z83" s="8">
        <v>0.38998300000000002</v>
      </c>
      <c r="AA83" s="8">
        <v>0.14061370000000001</v>
      </c>
      <c r="AB83" s="8">
        <v>0.23122329999999999</v>
      </c>
      <c r="AC83" s="8">
        <v>0.37423319999999999</v>
      </c>
      <c r="AD83" s="8">
        <v>0.35966480000000001</v>
      </c>
    </row>
    <row r="84" spans="1:30">
      <c r="A84" s="22">
        <v>205</v>
      </c>
      <c r="B84" s="22" t="s">
        <v>36</v>
      </c>
      <c r="C84" s="534">
        <v>1.3715649999999999</v>
      </c>
      <c r="D84" s="534">
        <v>1.4370849999999999</v>
      </c>
      <c r="E84" s="534">
        <v>1.49953</v>
      </c>
      <c r="F84" s="534">
        <v>1.5202100000000001</v>
      </c>
      <c r="G84" s="534">
        <v>1.5150710000000001</v>
      </c>
      <c r="H84" s="534">
        <v>1.4611689999999999</v>
      </c>
      <c r="I84" s="534">
        <v>1.4664710000000001</v>
      </c>
      <c r="J84" s="534">
        <v>1.452839</v>
      </c>
      <c r="K84" s="534">
        <v>1.509007</v>
      </c>
      <c r="L84" s="534">
        <v>1.343151</v>
      </c>
      <c r="M84" s="534">
        <v>1.364724</v>
      </c>
      <c r="N84" s="7">
        <v>1.3816390000000001</v>
      </c>
      <c r="O84" s="7">
        <v>1.375645</v>
      </c>
      <c r="P84" s="7">
        <v>1.3525240000000001</v>
      </c>
      <c r="Q84" s="7">
        <v>1.379316</v>
      </c>
      <c r="R84" s="7">
        <v>1.170747</v>
      </c>
      <c r="S84" s="7">
        <v>1.1943600000000001</v>
      </c>
      <c r="T84" s="7">
        <v>1.193737</v>
      </c>
      <c r="U84" s="7">
        <v>1.1657310000000001</v>
      </c>
      <c r="V84" s="7">
        <v>1.173311</v>
      </c>
      <c r="W84" s="7">
        <v>1.1359589999999999</v>
      </c>
      <c r="X84" s="7">
        <v>1.05949</v>
      </c>
      <c r="Y84" s="7">
        <v>1.0354909999999999</v>
      </c>
      <c r="Z84" s="8">
        <v>1.086444</v>
      </c>
      <c r="AA84" s="8">
        <v>1.1392990000000001</v>
      </c>
      <c r="AB84" s="8">
        <v>1.1822729999999999</v>
      </c>
      <c r="AC84" s="8">
        <v>1.2578240000000001</v>
      </c>
      <c r="AD84" s="8">
        <v>1.2329509999999999</v>
      </c>
    </row>
    <row r="85" spans="1:30">
      <c r="A85" s="22">
        <v>666</v>
      </c>
      <c r="B85" s="22" t="s">
        <v>140</v>
      </c>
      <c r="C85" s="534">
        <v>2.045026</v>
      </c>
      <c r="D85" s="534">
        <v>1.9842249999999999</v>
      </c>
      <c r="E85" s="534">
        <v>2.3781530000000002</v>
      </c>
      <c r="F85" s="534">
        <v>2.403877</v>
      </c>
      <c r="G85" s="534">
        <v>2.227509</v>
      </c>
      <c r="H85" s="534">
        <v>2.1090930000000001</v>
      </c>
      <c r="I85" s="534">
        <v>2.1047280000000002</v>
      </c>
      <c r="J85" s="534">
        <v>1.963476</v>
      </c>
      <c r="K85" s="534">
        <v>1.8486849999999999</v>
      </c>
      <c r="L85" s="534">
        <v>1.6625399999999999</v>
      </c>
      <c r="M85" s="534">
        <v>1.6536900000000001</v>
      </c>
      <c r="N85" s="7">
        <v>1.2637510000000001</v>
      </c>
      <c r="O85" s="7">
        <v>1.6913579999999999</v>
      </c>
      <c r="P85" s="7">
        <v>1.6895929999999999</v>
      </c>
      <c r="Q85" s="7">
        <v>1.7126749999999999</v>
      </c>
      <c r="R85" s="7">
        <v>1.705389</v>
      </c>
      <c r="S85" s="7">
        <v>1.6052299999999999</v>
      </c>
      <c r="T85" s="7">
        <v>1.6113329999999999</v>
      </c>
      <c r="U85" s="7">
        <v>1.5762590000000001</v>
      </c>
      <c r="V85" s="7">
        <v>1.55416</v>
      </c>
      <c r="W85" s="7">
        <v>1.4160809999999999</v>
      </c>
      <c r="X85" s="7">
        <v>1.4725299999999999</v>
      </c>
      <c r="Y85" s="7">
        <v>1.477373</v>
      </c>
      <c r="Z85" s="8">
        <v>1.325037</v>
      </c>
      <c r="AA85" s="8">
        <v>1.3241050000000001</v>
      </c>
      <c r="AB85" s="8">
        <v>1.3122510000000001</v>
      </c>
      <c r="AC85" s="8">
        <v>1.3419430000000001</v>
      </c>
      <c r="AD85" s="8">
        <v>1.4621470000000001</v>
      </c>
    </row>
    <row r="86" spans="1:30">
      <c r="A86" s="22">
        <v>325</v>
      </c>
      <c r="B86" s="22" t="s">
        <v>53</v>
      </c>
      <c r="C86" s="534">
        <v>1.0015879999999999</v>
      </c>
      <c r="D86" s="534">
        <v>0.99730660000000004</v>
      </c>
      <c r="E86" s="534">
        <v>1.1145149999999999</v>
      </c>
      <c r="F86" s="534">
        <v>1.234715</v>
      </c>
      <c r="G86" s="534">
        <v>1.177432</v>
      </c>
      <c r="H86" s="534">
        <v>1.172668</v>
      </c>
      <c r="I86" s="534">
        <v>1.2037500000000001</v>
      </c>
      <c r="J86" s="534">
        <v>1.172361</v>
      </c>
      <c r="K86" s="534">
        <v>1.4190750000000001</v>
      </c>
      <c r="L86" s="534">
        <v>1.471093</v>
      </c>
      <c r="M86" s="534">
        <v>1.5040070000000001</v>
      </c>
      <c r="N86" s="7">
        <v>1.553976</v>
      </c>
      <c r="O86" s="7">
        <v>1.653111</v>
      </c>
      <c r="P86" s="7">
        <v>1.625041</v>
      </c>
      <c r="Q86" s="7">
        <v>1.5432980000000001</v>
      </c>
      <c r="R86" s="7">
        <v>1.278068</v>
      </c>
      <c r="S86" s="7">
        <v>1.3202389999999999</v>
      </c>
      <c r="T86" s="7">
        <v>1.370071</v>
      </c>
      <c r="U86" s="7">
        <v>1.2954429999999999</v>
      </c>
      <c r="V86" s="7">
        <v>1.318989</v>
      </c>
      <c r="W86" s="7">
        <v>1.2099070000000001</v>
      </c>
      <c r="X86" s="7">
        <v>1.200369</v>
      </c>
      <c r="Y86" s="7">
        <v>1.158256</v>
      </c>
      <c r="Z86" s="8">
        <v>1.1474150000000001</v>
      </c>
      <c r="AA86" s="8">
        <v>1.1120570000000001</v>
      </c>
      <c r="AB86" s="8">
        <v>1.0740209999999999</v>
      </c>
      <c r="AC86" s="8">
        <v>1.1495759999999999</v>
      </c>
      <c r="AD86" s="8">
        <v>1.223876</v>
      </c>
    </row>
    <row r="87" spans="1:30">
      <c r="A87" s="22">
        <v>51</v>
      </c>
      <c r="B87" s="22" t="s">
        <v>6</v>
      </c>
      <c r="C87" s="534">
        <v>1.6431640000000001</v>
      </c>
      <c r="D87" s="534">
        <v>1.8278049999999999</v>
      </c>
      <c r="E87" s="534">
        <v>1.8159240000000001</v>
      </c>
      <c r="F87" s="534">
        <v>1.564208</v>
      </c>
      <c r="G87" s="534">
        <v>1.646825</v>
      </c>
      <c r="H87" s="534">
        <v>1.8317969999999999</v>
      </c>
      <c r="I87" s="534">
        <v>1.502926</v>
      </c>
      <c r="J87" s="534">
        <v>1.7467630000000001</v>
      </c>
      <c r="K87" s="534">
        <v>1.792157</v>
      </c>
      <c r="L87" s="534">
        <v>2.0634540000000001</v>
      </c>
      <c r="M87" s="534">
        <v>1.7714939999999999</v>
      </c>
      <c r="N87" s="7">
        <v>1.783542</v>
      </c>
      <c r="O87" s="7">
        <v>1.500732</v>
      </c>
      <c r="P87" s="7">
        <v>2.0143339999999998</v>
      </c>
      <c r="Q87" s="7">
        <v>1.666434</v>
      </c>
      <c r="R87" s="7">
        <v>1.7638229999999999</v>
      </c>
      <c r="S87" s="7">
        <v>1.583961</v>
      </c>
      <c r="T87" s="7">
        <v>1.5689420000000001</v>
      </c>
      <c r="U87" s="7">
        <v>1.6613869999999999</v>
      </c>
      <c r="V87" s="7">
        <v>1.8335189999999999</v>
      </c>
      <c r="W87" s="7">
        <v>1.927683</v>
      </c>
      <c r="X87" s="7">
        <v>1.8776409999999999</v>
      </c>
      <c r="Y87" s="7">
        <v>1.917362</v>
      </c>
      <c r="Z87" s="8">
        <v>2.1175679999999999</v>
      </c>
      <c r="AA87" s="8">
        <v>2.0341909999999999</v>
      </c>
      <c r="AB87" s="8">
        <v>2.0195129999999999</v>
      </c>
      <c r="AC87" s="8">
        <v>2.0189520000000001</v>
      </c>
      <c r="AD87" s="8">
        <v>2.0346950000000001</v>
      </c>
    </row>
    <row r="88" spans="1:30">
      <c r="A88" s="22">
        <v>740</v>
      </c>
      <c r="B88" s="22" t="s">
        <v>159</v>
      </c>
      <c r="C88" s="534">
        <v>0.43263770000000001</v>
      </c>
      <c r="D88" s="534">
        <v>0.47785129999999998</v>
      </c>
      <c r="E88" s="534">
        <v>0.4530708</v>
      </c>
      <c r="F88" s="534">
        <v>0.69815870000000002</v>
      </c>
      <c r="G88" s="534">
        <v>0.70707679999999995</v>
      </c>
      <c r="H88" s="534">
        <v>1.308929</v>
      </c>
      <c r="I88" s="534">
        <v>0.40870410000000001</v>
      </c>
      <c r="J88" s="534">
        <v>0.53666190000000003</v>
      </c>
      <c r="K88" s="534">
        <v>0.51762220000000003</v>
      </c>
      <c r="L88" s="534">
        <v>0.7008086</v>
      </c>
      <c r="M88" s="534">
        <v>0.85715629999999998</v>
      </c>
      <c r="N88" s="7">
        <v>0.37094470000000002</v>
      </c>
      <c r="O88" s="7">
        <v>0.25954080000000002</v>
      </c>
      <c r="P88" s="7">
        <v>0.25020540000000002</v>
      </c>
      <c r="Q88" s="7">
        <v>0.39369660000000001</v>
      </c>
      <c r="R88" s="7">
        <v>0.62008929999999995</v>
      </c>
      <c r="S88" s="7">
        <v>0.44958520000000002</v>
      </c>
      <c r="T88" s="7">
        <v>0.61364609999999997</v>
      </c>
      <c r="U88" s="7">
        <v>0.72409120000000005</v>
      </c>
      <c r="V88" s="7">
        <v>0.622282</v>
      </c>
      <c r="W88" s="7">
        <v>0.68145440000000002</v>
      </c>
      <c r="X88" s="7">
        <v>0.62345660000000003</v>
      </c>
      <c r="Y88" s="7">
        <v>0.618973</v>
      </c>
      <c r="Z88" s="8">
        <v>0.70559879999999997</v>
      </c>
      <c r="AA88" s="8">
        <v>0.55221969999999998</v>
      </c>
      <c r="AB88" s="8">
        <v>0.7098179</v>
      </c>
      <c r="AC88" s="8">
        <v>0.69245420000000002</v>
      </c>
      <c r="AD88" s="8">
        <v>0.6766335</v>
      </c>
    </row>
    <row r="89" spans="1:30">
      <c r="A89" s="22">
        <v>663</v>
      </c>
      <c r="B89" s="22" t="s">
        <v>139</v>
      </c>
      <c r="C89" s="534">
        <v>1.4658329999999999</v>
      </c>
      <c r="D89" s="534">
        <v>1.6409739999999999</v>
      </c>
      <c r="E89" s="534">
        <v>1.6973549999999999</v>
      </c>
      <c r="F89" s="534">
        <v>1.744864</v>
      </c>
      <c r="G89" s="534">
        <v>1.7195290000000001</v>
      </c>
      <c r="H89" s="534">
        <v>1.7352559999999999</v>
      </c>
      <c r="I89" s="534">
        <v>1.7014499999999999</v>
      </c>
      <c r="J89" s="534">
        <v>1.6331089999999999</v>
      </c>
      <c r="K89" s="534">
        <v>1.193405</v>
      </c>
      <c r="L89" s="534">
        <v>1.191994</v>
      </c>
      <c r="M89" s="534">
        <v>1.447824</v>
      </c>
      <c r="N89" s="7">
        <v>1.457319</v>
      </c>
      <c r="O89" s="7">
        <v>1.810324</v>
      </c>
      <c r="P89" s="7">
        <v>1.6547989999999999</v>
      </c>
      <c r="Q89" s="7">
        <v>1.579666</v>
      </c>
      <c r="R89" s="7">
        <v>1.623189</v>
      </c>
      <c r="S89" s="7">
        <v>1.7221850000000001</v>
      </c>
      <c r="T89" s="7">
        <v>1.491935</v>
      </c>
      <c r="U89" s="7">
        <v>1.4364429999999999</v>
      </c>
      <c r="V89" s="7">
        <v>1.413332</v>
      </c>
      <c r="W89" s="7">
        <v>1.3387629999999999</v>
      </c>
      <c r="X89" s="7">
        <v>1.292575</v>
      </c>
      <c r="Y89" s="7">
        <v>1.3024830000000001</v>
      </c>
      <c r="Z89" s="8">
        <v>1.208113</v>
      </c>
      <c r="AA89" s="8">
        <v>1.402317</v>
      </c>
      <c r="AB89" s="8">
        <v>1.6346400000000001</v>
      </c>
      <c r="AC89" s="8">
        <v>1.9209499999999999</v>
      </c>
      <c r="AD89" s="8">
        <v>1.8220240000000001</v>
      </c>
    </row>
    <row r="90" spans="1:30">
      <c r="A90" s="22">
        <v>705</v>
      </c>
      <c r="B90" s="22" t="s">
        <v>153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19"/>
      <c r="AA90" s="19"/>
      <c r="AB90" s="19"/>
      <c r="AC90" s="19"/>
      <c r="AD90" s="19"/>
    </row>
    <row r="91" spans="1:30">
      <c r="A91" s="22">
        <v>501</v>
      </c>
      <c r="B91" s="22" t="s">
        <v>106</v>
      </c>
      <c r="C91" s="534">
        <v>1.6995210000000001</v>
      </c>
      <c r="D91" s="534">
        <v>1.7560880000000001</v>
      </c>
      <c r="E91" s="534">
        <v>1.7714430000000001</v>
      </c>
      <c r="F91" s="534">
        <v>1.6392439999999999</v>
      </c>
      <c r="G91" s="534">
        <v>1.6603319999999999</v>
      </c>
      <c r="H91" s="534">
        <v>1.5007969999999999</v>
      </c>
      <c r="I91" s="534">
        <v>1.501654</v>
      </c>
      <c r="J91" s="534">
        <v>1.559836</v>
      </c>
      <c r="K91" s="534">
        <v>1.5995200000000001</v>
      </c>
      <c r="L91" s="534">
        <v>1.5813299999999999</v>
      </c>
      <c r="M91" s="534">
        <v>1.466394</v>
      </c>
      <c r="N91" s="7">
        <v>1.2700279999999999</v>
      </c>
      <c r="O91" s="7">
        <v>1.385694</v>
      </c>
      <c r="P91" s="7">
        <v>1.010065</v>
      </c>
      <c r="Q91" s="7">
        <v>1.0342990000000001</v>
      </c>
      <c r="R91" s="7">
        <v>1.2230589999999999</v>
      </c>
      <c r="S91" s="7">
        <v>1.0313129999999999</v>
      </c>
      <c r="T91" s="7">
        <v>1.0272920000000001</v>
      </c>
      <c r="U91" s="7">
        <v>0.88681949999999998</v>
      </c>
      <c r="V91" s="7">
        <v>1.244796</v>
      </c>
      <c r="W91" s="7">
        <v>1.21058</v>
      </c>
      <c r="X91" s="7">
        <v>1.1892469999999999</v>
      </c>
      <c r="Y91" s="7">
        <v>1.3620730000000001</v>
      </c>
      <c r="Z91" s="20">
        <v>1.026</v>
      </c>
      <c r="AA91" s="20">
        <v>1.1692400000000001</v>
      </c>
      <c r="AB91" s="20">
        <v>1.197848</v>
      </c>
      <c r="AC91" s="20">
        <v>1.3257760000000001</v>
      </c>
      <c r="AD91" s="20">
        <v>1.345356</v>
      </c>
    </row>
    <row r="92" spans="1:30">
      <c r="A92" s="22">
        <v>946</v>
      </c>
      <c r="B92" s="22" t="s">
        <v>182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19"/>
      <c r="AA92" s="19"/>
      <c r="AB92" s="19"/>
      <c r="AC92" s="19"/>
      <c r="AD92" s="19"/>
    </row>
    <row r="93" spans="1:30">
      <c r="A93" s="22">
        <v>732</v>
      </c>
      <c r="B93" s="22" t="s">
        <v>158</v>
      </c>
      <c r="C93" s="534">
        <v>0.74459180000000003</v>
      </c>
      <c r="D93" s="534">
        <v>0.73714139999999995</v>
      </c>
      <c r="E93" s="534">
        <v>0.71254240000000002</v>
      </c>
      <c r="F93" s="534">
        <v>0.76918699999999995</v>
      </c>
      <c r="G93" s="534">
        <v>0.71756010000000003</v>
      </c>
      <c r="H93" s="534">
        <v>0.71137090000000003</v>
      </c>
      <c r="I93" s="534">
        <v>0.68091820000000003</v>
      </c>
      <c r="J93" s="534">
        <v>0.69553290000000001</v>
      </c>
      <c r="K93" s="534">
        <v>0.72233930000000002</v>
      </c>
      <c r="L93" s="534">
        <v>0.71388079999999998</v>
      </c>
      <c r="M93" s="534">
        <v>0.73970999999999998</v>
      </c>
      <c r="N93" s="7">
        <v>0.69407509999999994</v>
      </c>
      <c r="O93" s="7">
        <v>0.70490909999999996</v>
      </c>
      <c r="P93" s="7">
        <v>0.69433599999999995</v>
      </c>
      <c r="Q93" s="7">
        <v>0.70869729999999997</v>
      </c>
      <c r="R93" s="7">
        <v>0.7201765</v>
      </c>
      <c r="S93" s="7">
        <v>0.71154919999999999</v>
      </c>
      <c r="T93" s="7">
        <v>0.68620950000000003</v>
      </c>
      <c r="U93" s="7">
        <v>0.64762260000000005</v>
      </c>
      <c r="V93" s="7">
        <v>0.66153300000000004</v>
      </c>
      <c r="W93" s="7">
        <v>0.77450160000000001</v>
      </c>
      <c r="X93" s="7">
        <v>0.75523189999999996</v>
      </c>
      <c r="Y93" s="7">
        <v>0.7630692</v>
      </c>
      <c r="Z93" s="20">
        <v>0.78342860000000003</v>
      </c>
      <c r="AA93" s="20">
        <v>0.73259600000000002</v>
      </c>
      <c r="AB93" s="20">
        <v>0.76544140000000005</v>
      </c>
      <c r="AC93" s="20">
        <v>0.86584360000000005</v>
      </c>
      <c r="AD93" s="20">
        <v>0.92298329999999995</v>
      </c>
    </row>
    <row r="94" spans="1:30">
      <c r="A94" s="22">
        <v>690</v>
      </c>
      <c r="B94" s="22" t="s">
        <v>143</v>
      </c>
      <c r="C94" s="534">
        <v>0.1221053</v>
      </c>
      <c r="D94" s="534">
        <v>0.16919239999999999</v>
      </c>
      <c r="E94" s="534">
        <v>0.22396279999999999</v>
      </c>
      <c r="F94" s="534">
        <v>0.2055912</v>
      </c>
      <c r="G94" s="534">
        <v>0.25685350000000001</v>
      </c>
      <c r="H94" s="534">
        <v>0.33293610000000001</v>
      </c>
      <c r="I94" s="534">
        <v>0.39287109999999997</v>
      </c>
      <c r="J94" s="534">
        <v>0.34143250000000003</v>
      </c>
      <c r="K94" s="534">
        <v>0.35304449999999998</v>
      </c>
      <c r="L94" s="534">
        <v>0.4070955</v>
      </c>
      <c r="M94" s="534">
        <v>5.0430200000000001E-2</v>
      </c>
      <c r="N94" s="7">
        <v>1.3193E-2</v>
      </c>
      <c r="O94" s="7">
        <v>0.26170320000000002</v>
      </c>
      <c r="P94" s="7">
        <v>1.8832999999999999E-2</v>
      </c>
      <c r="Q94" s="7">
        <v>3.77737E-2</v>
      </c>
      <c r="R94" s="7">
        <v>1.9294499999999999E-2</v>
      </c>
      <c r="S94" s="7">
        <v>1.4575899999999999E-2</v>
      </c>
      <c r="T94" s="7">
        <v>2.83209E-2</v>
      </c>
      <c r="U94" s="7">
        <v>4.0398400000000001E-2</v>
      </c>
      <c r="V94" s="7">
        <v>7.1388999999999994E-2</v>
      </c>
      <c r="W94" s="7">
        <v>0.39338289999999998</v>
      </c>
      <c r="X94" s="7">
        <v>0.57933029999999996</v>
      </c>
      <c r="Y94" s="7">
        <v>0.13082840000000001</v>
      </c>
      <c r="Z94" s="8">
        <v>0.15353120000000001</v>
      </c>
      <c r="AA94" s="8">
        <v>0.170127</v>
      </c>
      <c r="AB94" s="8">
        <v>0.10730000000000001</v>
      </c>
      <c r="AC94" s="8">
        <v>8.6980600000000005E-2</v>
      </c>
      <c r="AD94" s="8">
        <v>0.12668090000000001</v>
      </c>
    </row>
    <row r="95" spans="1:30">
      <c r="A95" s="22">
        <v>703</v>
      </c>
      <c r="B95" s="22" t="s">
        <v>151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>
      <c r="A96" s="22">
        <v>812</v>
      </c>
      <c r="B96" s="22" t="s">
        <v>170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>
      <c r="A97" s="22">
        <v>367</v>
      </c>
      <c r="B97" s="22" t="s">
        <v>69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7"/>
      <c r="O97" s="7"/>
      <c r="P97" s="7"/>
      <c r="Q97" s="7">
        <v>0.77894600000000003</v>
      </c>
      <c r="R97" s="7">
        <v>0.79383760000000003</v>
      </c>
      <c r="S97" s="7">
        <v>0.90079390000000004</v>
      </c>
      <c r="T97" s="7">
        <v>0.96894740000000001</v>
      </c>
      <c r="U97" s="7">
        <v>1.046419</v>
      </c>
      <c r="V97" s="7">
        <v>0.9524724</v>
      </c>
      <c r="W97" s="7">
        <v>0.82083649999999997</v>
      </c>
      <c r="X97" s="7">
        <v>0.7041058</v>
      </c>
      <c r="Y97" s="7">
        <v>0.80619030000000003</v>
      </c>
      <c r="Z97" s="8">
        <v>0.82528610000000002</v>
      </c>
      <c r="AA97" s="8">
        <v>0.79815670000000005</v>
      </c>
      <c r="AB97" s="8">
        <v>0.85093750000000001</v>
      </c>
      <c r="AC97" s="8">
        <v>0.91079279999999996</v>
      </c>
      <c r="AD97" s="8">
        <v>0.90568890000000002</v>
      </c>
    </row>
    <row r="98" spans="1:30">
      <c r="A98" s="22">
        <v>660</v>
      </c>
      <c r="B98" s="22" t="s">
        <v>138</v>
      </c>
      <c r="C98" s="534">
        <v>0.43866519999999998</v>
      </c>
      <c r="D98" s="534">
        <v>0.51623649999999999</v>
      </c>
      <c r="E98" s="534">
        <v>0.48826520000000001</v>
      </c>
      <c r="F98" s="534">
        <v>0.63286140000000002</v>
      </c>
      <c r="G98" s="534">
        <v>0.65392349999999999</v>
      </c>
      <c r="H98" s="534">
        <v>0.60073790000000005</v>
      </c>
      <c r="I98" s="534">
        <v>0.73459260000000004</v>
      </c>
      <c r="J98" s="534">
        <v>0.76746780000000003</v>
      </c>
      <c r="K98" s="534">
        <v>0.66598999999999997</v>
      </c>
      <c r="L98" s="534">
        <v>0.55990669999999998</v>
      </c>
      <c r="M98" s="534">
        <v>0.59153199999999995</v>
      </c>
      <c r="N98" s="7">
        <v>0.79511069999999995</v>
      </c>
      <c r="O98" s="7">
        <v>0.6591996</v>
      </c>
      <c r="P98" s="7">
        <v>0.8253663</v>
      </c>
      <c r="Q98" s="7">
        <v>0.77471769999999995</v>
      </c>
      <c r="R98" s="7">
        <v>1.056162</v>
      </c>
      <c r="S98" s="7">
        <v>1.0666640000000001</v>
      </c>
      <c r="T98" s="7">
        <v>0.94822119999999999</v>
      </c>
      <c r="U98" s="7">
        <v>1.1456249999999999</v>
      </c>
      <c r="V98" s="7">
        <v>1.192876</v>
      </c>
      <c r="W98" s="7">
        <v>0.88667070000000003</v>
      </c>
      <c r="X98" s="7">
        <v>0.79730909999999999</v>
      </c>
      <c r="Y98" s="7">
        <v>1.078214</v>
      </c>
      <c r="Z98" s="8">
        <v>1.123124</v>
      </c>
      <c r="AA98" s="8">
        <v>1.2479180000000001</v>
      </c>
      <c r="AB98" s="8">
        <v>0.96180710000000003</v>
      </c>
      <c r="AC98" s="8">
        <v>1.001755</v>
      </c>
      <c r="AD98" s="8">
        <v>0.76519519999999996</v>
      </c>
    </row>
    <row r="99" spans="1:30">
      <c r="A99" s="22">
        <v>570</v>
      </c>
      <c r="B99" s="22" t="s">
        <v>121</v>
      </c>
      <c r="C99" s="534">
        <v>2.1619329999999999</v>
      </c>
      <c r="D99" s="534">
        <v>1.96746</v>
      </c>
      <c r="E99" s="534">
        <v>2.4432529999999999</v>
      </c>
      <c r="F99" s="534">
        <v>3.103297</v>
      </c>
      <c r="G99" s="534">
        <v>3.3263959999999999</v>
      </c>
      <c r="H99" s="534">
        <v>3.0783640000000001</v>
      </c>
      <c r="I99" s="534">
        <v>2.8944969999999999</v>
      </c>
      <c r="J99" s="534">
        <v>2.6351490000000002</v>
      </c>
      <c r="K99" s="534">
        <v>2.4481440000000001</v>
      </c>
      <c r="L99" s="534">
        <v>2.4712299999999998</v>
      </c>
      <c r="M99" s="534">
        <v>3.2716539999999998</v>
      </c>
      <c r="N99" s="7">
        <v>3.278267</v>
      </c>
      <c r="O99" s="7">
        <v>3.1015429999999999</v>
      </c>
      <c r="P99" s="7">
        <v>3.209889</v>
      </c>
      <c r="Q99" s="7">
        <v>3.116441</v>
      </c>
      <c r="R99" s="7">
        <v>3.0224099999999998</v>
      </c>
      <c r="S99" s="7">
        <v>2.747074</v>
      </c>
      <c r="T99" s="7">
        <v>2.6525789999999998</v>
      </c>
      <c r="U99" s="7">
        <v>2.378781</v>
      </c>
      <c r="V99" s="7">
        <v>2.3114319999999999</v>
      </c>
      <c r="W99" s="7">
        <v>2.3958219999999999</v>
      </c>
      <c r="X99" s="7">
        <v>1.997822</v>
      </c>
      <c r="Y99" s="7">
        <v>2.074049</v>
      </c>
      <c r="Z99" s="20">
        <v>2.2844869999999999</v>
      </c>
      <c r="AA99" s="20">
        <v>2.491244</v>
      </c>
      <c r="AB99" s="20">
        <v>2.6199659999999998</v>
      </c>
      <c r="AC99" s="20">
        <v>2.6410140000000002</v>
      </c>
      <c r="AD99" s="20">
        <v>3.4590510000000001</v>
      </c>
    </row>
    <row r="100" spans="1:30">
      <c r="A100" s="22">
        <v>450</v>
      </c>
      <c r="B100" s="22" t="s">
        <v>94</v>
      </c>
      <c r="C100" s="534">
        <v>1.119421</v>
      </c>
      <c r="D100" s="534">
        <v>1.092959</v>
      </c>
      <c r="E100" s="534">
        <v>1.2207159999999999</v>
      </c>
      <c r="F100" s="534">
        <v>1.1746289999999999</v>
      </c>
      <c r="G100" s="534">
        <v>1.1382620000000001</v>
      </c>
      <c r="H100" s="534">
        <v>1.1237440000000001</v>
      </c>
      <c r="I100" s="534">
        <v>0.93893000000000004</v>
      </c>
      <c r="J100" s="534">
        <v>0.98810779999999998</v>
      </c>
      <c r="K100" s="534">
        <v>1.192086</v>
      </c>
      <c r="L100" s="534">
        <v>1.0711580000000001</v>
      </c>
      <c r="M100" s="534">
        <v>1.308557</v>
      </c>
      <c r="N100" s="7">
        <v>1.2267650000000001</v>
      </c>
      <c r="O100" s="7">
        <v>1.2965899999999999</v>
      </c>
      <c r="P100" s="7">
        <v>1.3368599999999999</v>
      </c>
      <c r="Q100" s="7">
        <v>1.321985</v>
      </c>
      <c r="R100" s="7">
        <v>1.353091</v>
      </c>
      <c r="S100" s="7">
        <v>1.4518660000000001</v>
      </c>
      <c r="T100" s="7">
        <v>1.376358</v>
      </c>
      <c r="U100" s="7">
        <v>1.404984</v>
      </c>
      <c r="V100" s="7">
        <v>1.433548</v>
      </c>
      <c r="W100" s="7">
        <v>1.4636450000000001</v>
      </c>
      <c r="X100" s="7">
        <v>1.4709540000000001</v>
      </c>
      <c r="Y100" s="7">
        <v>1.484372</v>
      </c>
      <c r="Z100" s="8">
        <v>1.3887700000000001</v>
      </c>
      <c r="AA100" s="8">
        <v>1.3479209999999999</v>
      </c>
      <c r="AB100" s="8">
        <v>1.321779</v>
      </c>
      <c r="AC100" s="8">
        <v>1.2690650000000001</v>
      </c>
      <c r="AD100" s="8">
        <v>1.2656289999999999</v>
      </c>
    </row>
    <row r="101" spans="1:30">
      <c r="A101" s="22">
        <v>620</v>
      </c>
      <c r="B101" s="22" t="s">
        <v>131</v>
      </c>
      <c r="C101" s="534">
        <v>3.294972</v>
      </c>
      <c r="D101" s="534">
        <v>1.6106339999999999</v>
      </c>
      <c r="E101" s="534">
        <v>1.6897740000000001</v>
      </c>
      <c r="F101" s="534">
        <v>1.4920880000000001</v>
      </c>
      <c r="G101" s="534">
        <v>1.5602389999999999</v>
      </c>
      <c r="H101" s="534">
        <v>1.425578</v>
      </c>
      <c r="I101" s="534">
        <v>1.203355</v>
      </c>
      <c r="J101" s="534">
        <v>1.061968</v>
      </c>
      <c r="K101" s="534">
        <v>1.0683130000000001</v>
      </c>
      <c r="L101" s="534">
        <v>0.94604429999999995</v>
      </c>
      <c r="M101" s="534">
        <v>0.8188455</v>
      </c>
      <c r="N101" s="7">
        <v>0.76393120000000003</v>
      </c>
      <c r="O101" s="7">
        <v>1.02746</v>
      </c>
      <c r="P101" s="7">
        <v>1.0896239999999999</v>
      </c>
      <c r="Q101" s="7">
        <v>0.92310599999999998</v>
      </c>
      <c r="R101" s="7">
        <v>0.93370249999999999</v>
      </c>
      <c r="S101" s="7">
        <v>0.97308399999999995</v>
      </c>
      <c r="T101" s="7">
        <v>0.9891508</v>
      </c>
      <c r="U101" s="7">
        <v>1.068276</v>
      </c>
      <c r="V101" s="7">
        <v>1.0416609999999999</v>
      </c>
      <c r="W101" s="7">
        <v>1.0098009999999999</v>
      </c>
      <c r="X101" s="7">
        <v>1.002162</v>
      </c>
      <c r="Y101" s="7">
        <v>0.95382219999999995</v>
      </c>
      <c r="Z101" s="8">
        <v>0.81790700000000005</v>
      </c>
      <c r="AA101" s="8">
        <v>0.78488990000000003</v>
      </c>
      <c r="AB101" s="8">
        <v>0.75317330000000005</v>
      </c>
      <c r="AC101" s="8">
        <v>0.77398279999999997</v>
      </c>
      <c r="AD101" s="8">
        <v>0.73387899999999995</v>
      </c>
    </row>
    <row r="102" spans="1:30">
      <c r="A102" s="22">
        <v>368</v>
      </c>
      <c r="B102" s="22" t="s">
        <v>70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7"/>
      <c r="O102" s="7"/>
      <c r="P102" s="7"/>
      <c r="Q102" s="7"/>
      <c r="R102" s="7"/>
      <c r="S102" s="7"/>
      <c r="T102" s="7"/>
      <c r="U102" s="7"/>
      <c r="V102" s="7"/>
      <c r="W102" s="7">
        <v>0.76861820000000003</v>
      </c>
      <c r="X102" s="7">
        <v>0.74030640000000003</v>
      </c>
      <c r="Y102" s="7">
        <v>0.91482989999999997</v>
      </c>
      <c r="Z102" s="8">
        <v>0.90363709999999997</v>
      </c>
      <c r="AA102" s="8">
        <v>0.87179969999999996</v>
      </c>
      <c r="AB102" s="8">
        <v>0.91810040000000004</v>
      </c>
      <c r="AC102" s="8">
        <v>0.89499309999999999</v>
      </c>
      <c r="AD102" s="8">
        <v>0.89530209999999999</v>
      </c>
    </row>
    <row r="103" spans="1:30">
      <c r="A103" s="22">
        <v>212</v>
      </c>
      <c r="B103" s="22" t="s">
        <v>39</v>
      </c>
      <c r="C103" s="534">
        <v>1.4216340000000001</v>
      </c>
      <c r="D103" s="534">
        <v>1.4587909999999999</v>
      </c>
      <c r="E103" s="534">
        <v>1.448407</v>
      </c>
      <c r="F103" s="534">
        <v>1.5878829999999999</v>
      </c>
      <c r="G103" s="534">
        <v>1.502532</v>
      </c>
      <c r="H103" s="534">
        <v>1.4684120000000001</v>
      </c>
      <c r="I103" s="534">
        <v>1.5083310000000001</v>
      </c>
      <c r="J103" s="534">
        <v>1.576908</v>
      </c>
      <c r="K103" s="534">
        <v>1.5522389999999999</v>
      </c>
      <c r="L103" s="534">
        <v>1.515549</v>
      </c>
      <c r="M103" s="534">
        <v>1.5937140000000001</v>
      </c>
      <c r="N103" s="7">
        <v>1.07081</v>
      </c>
      <c r="O103" s="7">
        <v>1.0519890000000001</v>
      </c>
      <c r="P103" s="7">
        <v>1.1750989999999999</v>
      </c>
      <c r="Q103" s="7">
        <v>1.3745099999999999</v>
      </c>
      <c r="R103" s="7">
        <v>1.2541519999999999</v>
      </c>
      <c r="S103" s="7">
        <v>1.328111</v>
      </c>
      <c r="T103" s="7">
        <v>1.2504280000000001</v>
      </c>
      <c r="U103" s="7">
        <v>1.2626200000000001</v>
      </c>
      <c r="V103" s="7">
        <v>1.0925100000000001</v>
      </c>
      <c r="W103" s="7">
        <v>1.0678319999999999</v>
      </c>
      <c r="X103" s="7">
        <v>1.072829</v>
      </c>
      <c r="Y103" s="7">
        <v>1.067423</v>
      </c>
      <c r="Z103" s="20">
        <v>1.0433829999999999</v>
      </c>
      <c r="AA103" s="20">
        <v>0.9977395</v>
      </c>
      <c r="AB103" s="20">
        <v>1.0048079999999999</v>
      </c>
      <c r="AC103" s="20">
        <v>0.90795769999999998</v>
      </c>
      <c r="AD103" s="20">
        <v>0.81470719999999996</v>
      </c>
    </row>
    <row r="104" spans="1:30">
      <c r="A104" s="22">
        <v>343</v>
      </c>
      <c r="B104" s="22" t="s">
        <v>57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19"/>
      <c r="AA104" s="19"/>
      <c r="AB104" s="19"/>
      <c r="AC104" s="19"/>
      <c r="AD104" s="19"/>
    </row>
    <row r="105" spans="1:30">
      <c r="A105" s="22">
        <v>580</v>
      </c>
      <c r="B105" s="22" t="s">
        <v>124</v>
      </c>
      <c r="C105" s="534">
        <v>0.55792969999999997</v>
      </c>
      <c r="D105" s="534">
        <v>0.29584909999999998</v>
      </c>
      <c r="E105" s="534">
        <v>0.46768900000000002</v>
      </c>
      <c r="F105" s="534">
        <v>0.76106269999999998</v>
      </c>
      <c r="G105" s="534">
        <v>0.96096380000000003</v>
      </c>
      <c r="H105" s="534">
        <v>0.86853579999999997</v>
      </c>
      <c r="I105" s="534">
        <v>0.6950672</v>
      </c>
      <c r="J105" s="534">
        <v>0.88499989999999995</v>
      </c>
      <c r="K105" s="534">
        <v>0.78380570000000005</v>
      </c>
      <c r="L105" s="534">
        <v>0.67744329999999997</v>
      </c>
      <c r="M105" s="534">
        <v>0.71177409999999997</v>
      </c>
      <c r="N105" s="7">
        <v>0.53040279999999995</v>
      </c>
      <c r="O105" s="7">
        <v>0.66999010000000003</v>
      </c>
      <c r="P105" s="7">
        <v>0.62761060000000002</v>
      </c>
      <c r="Q105" s="7">
        <v>0.55013080000000003</v>
      </c>
      <c r="R105" s="7">
        <v>0.57819160000000003</v>
      </c>
      <c r="S105" s="7">
        <v>0.60040590000000005</v>
      </c>
      <c r="T105" s="7">
        <v>0.64570179999999999</v>
      </c>
      <c r="U105" s="7">
        <v>0.66318650000000001</v>
      </c>
      <c r="V105" s="7">
        <v>0.74043340000000002</v>
      </c>
      <c r="W105" s="7">
        <v>0.78360180000000001</v>
      </c>
      <c r="X105" s="7">
        <v>0.67970030000000004</v>
      </c>
      <c r="Y105" s="7">
        <v>0.53955569999999997</v>
      </c>
      <c r="Z105" s="8">
        <v>0.71671459999999998</v>
      </c>
      <c r="AA105" s="8">
        <v>0.75809959999999998</v>
      </c>
      <c r="AB105" s="8">
        <v>0.70448670000000002</v>
      </c>
      <c r="AC105" s="8">
        <v>0.74953420000000004</v>
      </c>
      <c r="AD105" s="8">
        <v>0.68474820000000003</v>
      </c>
    </row>
    <row r="106" spans="1:30">
      <c r="A106" s="22">
        <v>553</v>
      </c>
      <c r="B106" s="22" t="s">
        <v>118</v>
      </c>
      <c r="C106" s="534">
        <v>0.9800989</v>
      </c>
      <c r="D106" s="534">
        <v>1.0397479999999999</v>
      </c>
      <c r="E106" s="534">
        <v>1.1917340000000001</v>
      </c>
      <c r="F106" s="534">
        <v>1.172034</v>
      </c>
      <c r="G106" s="534">
        <v>1.1615599999999999</v>
      </c>
      <c r="H106" s="534">
        <v>1.1016360000000001</v>
      </c>
      <c r="I106" s="534">
        <v>1.0398400000000001</v>
      </c>
      <c r="J106" s="534">
        <v>1.0631569999999999</v>
      </c>
      <c r="K106" s="534">
        <v>1.2425999999999999</v>
      </c>
      <c r="L106" s="534">
        <v>1.278775</v>
      </c>
      <c r="M106" s="534">
        <v>1.142128</v>
      </c>
      <c r="N106" s="7">
        <v>1.1054600000000001</v>
      </c>
      <c r="O106" s="7">
        <v>1.054081</v>
      </c>
      <c r="P106" s="7">
        <v>1.0684549999999999</v>
      </c>
      <c r="Q106" s="7">
        <v>1.0843590000000001</v>
      </c>
      <c r="R106" s="7">
        <v>1.0009779999999999</v>
      </c>
      <c r="S106" s="7">
        <v>1.161761</v>
      </c>
      <c r="T106" s="7">
        <v>1.1831579999999999</v>
      </c>
      <c r="U106" s="7">
        <v>1.066716</v>
      </c>
      <c r="V106" s="7">
        <v>1.0985180000000001</v>
      </c>
      <c r="W106" s="7">
        <v>1.171022</v>
      </c>
      <c r="X106" s="7">
        <v>1.0663910000000001</v>
      </c>
      <c r="Y106" s="7">
        <v>1.316729</v>
      </c>
      <c r="Z106" s="8">
        <v>1.4655530000000001</v>
      </c>
      <c r="AA106" s="8">
        <v>1.4765140000000001</v>
      </c>
      <c r="AB106" s="8">
        <v>1.5072410000000001</v>
      </c>
      <c r="AC106" s="8">
        <v>1.419538</v>
      </c>
      <c r="AD106" s="8">
        <v>1.473511</v>
      </c>
    </row>
    <row r="107" spans="1:30">
      <c r="A107" s="22">
        <v>820</v>
      </c>
      <c r="B107" s="22" t="s">
        <v>172</v>
      </c>
      <c r="C107" s="534">
        <v>1.4113849999999999</v>
      </c>
      <c r="D107" s="534">
        <v>1.3768819999999999</v>
      </c>
      <c r="E107" s="534">
        <v>1.2770999999999999</v>
      </c>
      <c r="F107" s="534">
        <v>1.3722570000000001</v>
      </c>
      <c r="G107" s="534">
        <v>1.263288</v>
      </c>
      <c r="H107" s="534">
        <v>1.333969</v>
      </c>
      <c r="I107" s="534">
        <v>1.2429650000000001</v>
      </c>
      <c r="J107" s="534">
        <v>0.89681169999999999</v>
      </c>
      <c r="K107" s="534">
        <v>0.91830270000000003</v>
      </c>
      <c r="L107" s="534">
        <v>0.89767870000000005</v>
      </c>
      <c r="M107" s="534">
        <v>0.87791750000000002</v>
      </c>
      <c r="N107" s="7">
        <v>0.9512872</v>
      </c>
      <c r="O107" s="7">
        <v>1.0157879999999999</v>
      </c>
      <c r="P107" s="7">
        <v>0.93171910000000002</v>
      </c>
      <c r="Q107" s="7">
        <v>0.9347491</v>
      </c>
      <c r="R107" s="7">
        <v>0.89159180000000005</v>
      </c>
      <c r="S107" s="7">
        <v>0.90319459999999996</v>
      </c>
      <c r="T107" s="7">
        <v>0.93796020000000002</v>
      </c>
      <c r="U107" s="7">
        <v>0.62445170000000005</v>
      </c>
      <c r="V107" s="7">
        <v>0.55494589999999999</v>
      </c>
      <c r="W107" s="7">
        <v>0.40974519999999998</v>
      </c>
      <c r="X107" s="7">
        <v>0.48828860000000002</v>
      </c>
      <c r="Y107" s="7">
        <v>0.52433220000000003</v>
      </c>
      <c r="Z107" s="8">
        <v>0.46444299999999999</v>
      </c>
      <c r="AA107" s="8">
        <v>0.44254100000000002</v>
      </c>
      <c r="AB107" s="8">
        <v>0.48460249999999999</v>
      </c>
      <c r="AC107" s="8">
        <v>0.37720799999999999</v>
      </c>
      <c r="AD107" s="8">
        <v>0.3605081</v>
      </c>
    </row>
    <row r="108" spans="1:30">
      <c r="A108" s="22">
        <v>781</v>
      </c>
      <c r="B108" s="22" t="s">
        <v>166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19"/>
      <c r="AA108" s="19"/>
      <c r="AB108" s="19"/>
      <c r="AC108" s="19"/>
      <c r="AD108" s="19"/>
    </row>
    <row r="109" spans="1:30">
      <c r="A109" s="22">
        <v>432</v>
      </c>
      <c r="B109" s="22" t="s">
        <v>86</v>
      </c>
      <c r="C109" s="534">
        <v>0.86825810000000003</v>
      </c>
      <c r="D109" s="534">
        <v>0.8106004</v>
      </c>
      <c r="E109" s="534">
        <v>0.90423900000000001</v>
      </c>
      <c r="F109" s="534">
        <v>0.74139960000000005</v>
      </c>
      <c r="G109" s="534">
        <v>0.74597630000000004</v>
      </c>
      <c r="H109" s="534">
        <v>0.89228110000000005</v>
      </c>
      <c r="I109" s="534">
        <v>0.93536640000000004</v>
      </c>
      <c r="J109" s="534">
        <v>1.0129060000000001</v>
      </c>
      <c r="K109" s="534">
        <v>1.2355149999999999</v>
      </c>
      <c r="L109" s="534">
        <v>1.216987</v>
      </c>
      <c r="M109" s="534">
        <v>1.3452660000000001</v>
      </c>
      <c r="N109" s="7">
        <v>1.0202089999999999</v>
      </c>
      <c r="O109" s="7">
        <v>0.85837580000000002</v>
      </c>
      <c r="P109" s="7">
        <v>0.86839540000000004</v>
      </c>
      <c r="Q109" s="7">
        <v>0.82226849999999996</v>
      </c>
      <c r="R109" s="7">
        <v>0.87285239999999997</v>
      </c>
      <c r="S109" s="7">
        <v>0.86705030000000005</v>
      </c>
      <c r="T109" s="7">
        <v>0.87407820000000003</v>
      </c>
      <c r="U109" s="7">
        <v>0.89737339999999999</v>
      </c>
      <c r="V109" s="7">
        <v>0.89468749999999997</v>
      </c>
      <c r="W109" s="7">
        <v>0.78775010000000001</v>
      </c>
      <c r="X109" s="7">
        <v>0.78336419999999996</v>
      </c>
      <c r="Y109" s="7">
        <v>0.70578390000000002</v>
      </c>
      <c r="Z109" s="8">
        <v>0.87122920000000004</v>
      </c>
      <c r="AA109" s="8">
        <v>0.95816120000000005</v>
      </c>
      <c r="AB109" s="8">
        <v>0.97776220000000003</v>
      </c>
      <c r="AC109" s="8">
        <v>0.79897399999999996</v>
      </c>
      <c r="AD109" s="8">
        <v>0.85229750000000004</v>
      </c>
    </row>
    <row r="110" spans="1:30">
      <c r="A110" s="22">
        <v>338</v>
      </c>
      <c r="B110" s="22" t="s">
        <v>55</v>
      </c>
      <c r="C110" s="534">
        <v>1.290225</v>
      </c>
      <c r="D110" s="534">
        <v>1.30793</v>
      </c>
      <c r="E110" s="534">
        <v>1.0421450000000001</v>
      </c>
      <c r="F110" s="534">
        <v>1.285007</v>
      </c>
      <c r="G110" s="534">
        <v>1.19465</v>
      </c>
      <c r="H110" s="534">
        <v>1.240612</v>
      </c>
      <c r="I110" s="534">
        <v>1.2050369999999999</v>
      </c>
      <c r="J110" s="534">
        <v>1.137195</v>
      </c>
      <c r="K110" s="534">
        <v>1.1990179999999999</v>
      </c>
      <c r="L110" s="534">
        <v>1.2104839999999999</v>
      </c>
      <c r="M110" s="534">
        <v>1.2564979999999999</v>
      </c>
      <c r="N110" s="7">
        <v>1.4860310000000001</v>
      </c>
      <c r="O110" s="7">
        <v>1.3223069999999999</v>
      </c>
      <c r="P110" s="7">
        <v>1.1125290000000001</v>
      </c>
      <c r="Q110" s="7">
        <v>1.040862</v>
      </c>
      <c r="R110" s="7">
        <v>1.243528</v>
      </c>
      <c r="S110" s="7">
        <v>0.96029629999999999</v>
      </c>
      <c r="T110" s="7">
        <v>1.0940369999999999</v>
      </c>
      <c r="U110" s="7">
        <v>1.099288</v>
      </c>
      <c r="V110" s="7">
        <v>1.115407</v>
      </c>
      <c r="W110" s="7">
        <v>1.0264819999999999</v>
      </c>
      <c r="X110" s="7">
        <v>1.1853530000000001</v>
      </c>
      <c r="Y110" s="7">
        <v>1.3160000000000001</v>
      </c>
      <c r="Z110" s="8">
        <v>1.3134939999999999</v>
      </c>
      <c r="AA110" s="8">
        <v>1.338093</v>
      </c>
      <c r="AB110" s="8">
        <v>1.1394</v>
      </c>
      <c r="AC110" s="8">
        <v>1.34978</v>
      </c>
      <c r="AD110" s="8">
        <v>1.1464620000000001</v>
      </c>
    </row>
    <row r="111" spans="1:30">
      <c r="A111" s="22">
        <v>983</v>
      </c>
      <c r="B111" s="22" t="s">
        <v>187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19"/>
      <c r="AA111" s="19"/>
      <c r="AB111" s="19"/>
      <c r="AC111" s="19"/>
      <c r="AD111" s="19"/>
    </row>
    <row r="112" spans="1:30">
      <c r="A112" s="22">
        <v>435</v>
      </c>
      <c r="B112" s="22" t="s">
        <v>89</v>
      </c>
      <c r="C112" s="534">
        <v>1.1601539999999999</v>
      </c>
      <c r="D112" s="534">
        <v>0.7609631</v>
      </c>
      <c r="E112" s="534">
        <v>1.1436949999999999</v>
      </c>
      <c r="F112" s="534">
        <v>1.0872520000000001</v>
      </c>
      <c r="G112" s="534">
        <v>1.1174660000000001</v>
      </c>
      <c r="H112" s="534">
        <v>0.97235349999999998</v>
      </c>
      <c r="I112" s="534">
        <v>1.045118</v>
      </c>
      <c r="J112" s="534">
        <v>1.1095699999999999</v>
      </c>
      <c r="K112" s="534">
        <v>1.0393539999999999</v>
      </c>
      <c r="L112" s="534">
        <v>0.90647699999999998</v>
      </c>
      <c r="M112" s="534">
        <v>0.95446339999999996</v>
      </c>
      <c r="N112" s="7">
        <v>0.8869302</v>
      </c>
      <c r="O112" s="7">
        <v>1.1614100000000001</v>
      </c>
      <c r="P112" s="7">
        <v>1.1288879999999999</v>
      </c>
      <c r="Q112" s="7">
        <v>1.0083260000000001</v>
      </c>
      <c r="R112" s="7">
        <v>1.009388</v>
      </c>
      <c r="S112" s="7">
        <v>1.0729310000000001</v>
      </c>
      <c r="T112" s="7">
        <v>0.95239739999999995</v>
      </c>
      <c r="U112" s="7">
        <v>0.94080620000000004</v>
      </c>
      <c r="V112" s="7">
        <v>0.94878759999999995</v>
      </c>
      <c r="W112" s="7">
        <v>1.0004139999999999</v>
      </c>
      <c r="X112" s="7">
        <v>0.92299900000000001</v>
      </c>
      <c r="Y112" s="7">
        <v>0.9080992</v>
      </c>
      <c r="Z112" s="20">
        <v>0.78915679999999999</v>
      </c>
      <c r="AA112" s="20">
        <v>1.5202929999999999</v>
      </c>
      <c r="AB112" s="20">
        <v>1.3215250000000001</v>
      </c>
      <c r="AC112" s="20">
        <v>1.298227</v>
      </c>
      <c r="AD112" s="20">
        <v>1.077761</v>
      </c>
    </row>
    <row r="113" spans="1:30">
      <c r="A113" s="22">
        <v>590</v>
      </c>
      <c r="B113" s="22" t="s">
        <v>126</v>
      </c>
      <c r="C113" s="534">
        <v>0.92410530000000002</v>
      </c>
      <c r="D113" s="534">
        <v>0.86792970000000003</v>
      </c>
      <c r="E113" s="534">
        <v>0.78251389999999998</v>
      </c>
      <c r="F113" s="534">
        <v>1.0313209999999999</v>
      </c>
      <c r="G113" s="534">
        <v>1.09748</v>
      </c>
      <c r="H113" s="534">
        <v>0.9798713</v>
      </c>
      <c r="I113" s="534">
        <v>0.95793910000000004</v>
      </c>
      <c r="J113" s="534">
        <v>0.97081090000000003</v>
      </c>
      <c r="K113" s="534">
        <v>1.048967</v>
      </c>
      <c r="L113" s="534">
        <v>1.102557</v>
      </c>
      <c r="M113" s="534">
        <v>1.2943750000000001</v>
      </c>
      <c r="N113" s="7">
        <v>1.3290519999999999</v>
      </c>
      <c r="O113" s="7">
        <v>1.2586729999999999</v>
      </c>
      <c r="P113" s="7">
        <v>1.213042</v>
      </c>
      <c r="Q113" s="7">
        <v>1.1882809999999999</v>
      </c>
      <c r="R113" s="7">
        <v>1.053634</v>
      </c>
      <c r="S113" s="7">
        <v>0.97095779999999998</v>
      </c>
      <c r="T113" s="7">
        <v>1.041425</v>
      </c>
      <c r="U113" s="7">
        <v>1.037946</v>
      </c>
      <c r="V113" s="7">
        <v>1.0541510000000001</v>
      </c>
      <c r="W113" s="7">
        <v>1.0587949999999999</v>
      </c>
      <c r="X113" s="7">
        <v>0.9373013</v>
      </c>
      <c r="Y113" s="7">
        <v>0.94819089999999995</v>
      </c>
      <c r="Z113" s="8">
        <v>1.1323019999999999</v>
      </c>
      <c r="AA113" s="8">
        <v>1.1387529999999999</v>
      </c>
      <c r="AB113" s="8">
        <v>1.076373</v>
      </c>
      <c r="AC113" s="8">
        <v>1.1259939999999999</v>
      </c>
      <c r="AD113" s="8">
        <v>1.1333420000000001</v>
      </c>
    </row>
    <row r="114" spans="1:30">
      <c r="A114" s="22">
        <v>70</v>
      </c>
      <c r="B114" s="22" t="s">
        <v>15</v>
      </c>
      <c r="C114" s="534">
        <v>1.1253340000000001</v>
      </c>
      <c r="D114" s="534">
        <v>1.0722240000000001</v>
      </c>
      <c r="E114" s="534">
        <v>1.1243529999999999</v>
      </c>
      <c r="F114" s="534">
        <v>1.1885600000000001</v>
      </c>
      <c r="G114" s="534">
        <v>1.1911</v>
      </c>
      <c r="H114" s="534">
        <v>1.19678</v>
      </c>
      <c r="I114" s="534">
        <v>1.0996760000000001</v>
      </c>
      <c r="J114" s="534">
        <v>1.160361</v>
      </c>
      <c r="K114" s="534">
        <v>1.0151129999999999</v>
      </c>
      <c r="L114" s="534">
        <v>1.089785</v>
      </c>
      <c r="M114" s="534">
        <v>1.069277</v>
      </c>
      <c r="N114" s="7">
        <v>1.0742640000000001</v>
      </c>
      <c r="O114" s="7">
        <v>1.0835360000000001</v>
      </c>
      <c r="P114" s="7">
        <v>1.053536</v>
      </c>
      <c r="Q114" s="7">
        <v>0.98202060000000002</v>
      </c>
      <c r="R114" s="7">
        <v>0.88710449999999996</v>
      </c>
      <c r="S114" s="7">
        <v>0.90158689999999997</v>
      </c>
      <c r="T114" s="7">
        <v>0.95566359999999995</v>
      </c>
      <c r="U114" s="7">
        <v>0.86914440000000004</v>
      </c>
      <c r="V114" s="7">
        <v>0.90414300000000003</v>
      </c>
      <c r="W114" s="7">
        <v>0.98413019999999996</v>
      </c>
      <c r="X114" s="7">
        <v>0.93952990000000003</v>
      </c>
      <c r="Y114" s="7">
        <v>0.93422130000000003</v>
      </c>
      <c r="Z114" s="20">
        <v>0.94943509999999998</v>
      </c>
      <c r="AA114" s="20">
        <v>0.97398070000000003</v>
      </c>
      <c r="AB114" s="20">
        <v>0.98376240000000004</v>
      </c>
      <c r="AC114" s="20">
        <v>0.96733080000000005</v>
      </c>
      <c r="AD114" s="20">
        <v>1.000686</v>
      </c>
    </row>
    <row r="115" spans="1:30">
      <c r="A115" s="22">
        <v>987</v>
      </c>
      <c r="B115" s="22" t="s">
        <v>189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>
      <c r="A116" s="22">
        <v>359</v>
      </c>
      <c r="B116" s="22" t="s">
        <v>65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7"/>
      <c r="O116" s="7"/>
      <c r="P116" s="7"/>
      <c r="Q116" s="7"/>
      <c r="R116" s="7">
        <v>1.189953</v>
      </c>
      <c r="S116" s="7">
        <v>0.74344180000000004</v>
      </c>
      <c r="T116" s="7">
        <v>1.1570400000000001</v>
      </c>
      <c r="U116" s="7">
        <v>1.1887749999999999</v>
      </c>
      <c r="V116" s="7">
        <v>0.81542170000000003</v>
      </c>
      <c r="W116" s="7">
        <v>0.8437694</v>
      </c>
      <c r="X116" s="7">
        <v>0.66674279999999997</v>
      </c>
      <c r="Y116" s="7">
        <v>0.93420619999999999</v>
      </c>
      <c r="Z116" s="8">
        <v>1.0492349999999999</v>
      </c>
      <c r="AA116" s="8">
        <v>1.1988510000000001</v>
      </c>
      <c r="AB116" s="8">
        <v>1.337977</v>
      </c>
      <c r="AC116" s="8">
        <v>1.431611</v>
      </c>
      <c r="AD116" s="8">
        <v>1.6119410000000001</v>
      </c>
    </row>
    <row r="117" spans="1:30">
      <c r="A117" s="22">
        <v>712</v>
      </c>
      <c r="B117" s="22" t="s">
        <v>155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7"/>
      <c r="O117" s="7">
        <v>0.79701469999999996</v>
      </c>
      <c r="P117" s="7">
        <v>0.88081520000000002</v>
      </c>
      <c r="Q117" s="7">
        <v>0.49905440000000001</v>
      </c>
      <c r="R117" s="7">
        <v>0.330818</v>
      </c>
      <c r="S117" s="7">
        <v>0.30667169999999999</v>
      </c>
      <c r="T117" s="7">
        <v>0.35325040000000002</v>
      </c>
      <c r="U117" s="7">
        <v>0.42203800000000002</v>
      </c>
      <c r="V117" s="7">
        <v>0.53456119999999996</v>
      </c>
      <c r="W117" s="7">
        <v>0.79680680000000004</v>
      </c>
      <c r="X117" s="7">
        <v>0.96651719999999997</v>
      </c>
      <c r="Y117" s="7">
        <v>1.1467369999999999</v>
      </c>
      <c r="Z117" s="8">
        <v>1.1175980000000001</v>
      </c>
      <c r="AA117" s="8">
        <v>1.15428</v>
      </c>
      <c r="AB117" s="8">
        <v>1.0459510000000001</v>
      </c>
      <c r="AC117" s="8">
        <v>1.3350599999999999</v>
      </c>
      <c r="AD117" s="8">
        <v>1.471786</v>
      </c>
    </row>
    <row r="118" spans="1:30">
      <c r="A118" s="22">
        <v>341</v>
      </c>
      <c r="B118" s="22" t="s">
        <v>193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>
      <c r="A119" s="22">
        <v>600</v>
      </c>
      <c r="B119" s="22" t="s">
        <v>128</v>
      </c>
      <c r="C119" s="534">
        <v>1.4561809999999999</v>
      </c>
      <c r="D119" s="534">
        <v>1.474102</v>
      </c>
      <c r="E119" s="534">
        <v>1.4764269999999999</v>
      </c>
      <c r="F119" s="534">
        <v>1.4221429999999999</v>
      </c>
      <c r="G119" s="534">
        <v>1.373651</v>
      </c>
      <c r="H119" s="534">
        <v>1.320068</v>
      </c>
      <c r="I119" s="534">
        <v>1.3277969999999999</v>
      </c>
      <c r="J119" s="534">
        <v>1.4298869999999999</v>
      </c>
      <c r="K119" s="534">
        <v>1.4540999999999999</v>
      </c>
      <c r="L119" s="534">
        <v>1.534808</v>
      </c>
      <c r="M119" s="534">
        <v>1.4196599999999999</v>
      </c>
      <c r="N119" s="7">
        <v>1.382428</v>
      </c>
      <c r="O119" s="7">
        <v>1.613143</v>
      </c>
      <c r="P119" s="7">
        <v>1.5661179999999999</v>
      </c>
      <c r="Q119" s="7">
        <v>1.4431700000000001</v>
      </c>
      <c r="R119" s="7">
        <v>1.380007</v>
      </c>
      <c r="S119" s="7">
        <v>1.344368</v>
      </c>
      <c r="T119" s="7">
        <v>1.471492</v>
      </c>
      <c r="U119" s="7">
        <v>1.440598</v>
      </c>
      <c r="V119" s="7">
        <v>1.490337</v>
      </c>
      <c r="W119" s="7">
        <v>1.5284679999999999</v>
      </c>
      <c r="X119" s="7">
        <v>1.367686</v>
      </c>
      <c r="Y119" s="7">
        <v>1.2700020000000001</v>
      </c>
      <c r="Z119" s="8">
        <v>1.157405</v>
      </c>
      <c r="AA119" s="8">
        <v>1.197279</v>
      </c>
      <c r="AB119" s="8">
        <v>1.26315</v>
      </c>
      <c r="AC119" s="8">
        <v>1.247665</v>
      </c>
      <c r="AD119" s="8">
        <v>1.330365</v>
      </c>
    </row>
    <row r="120" spans="1:30">
      <c r="A120" s="22">
        <v>541</v>
      </c>
      <c r="B120" s="22" t="s">
        <v>115</v>
      </c>
      <c r="C120" s="534">
        <v>0.3921367</v>
      </c>
      <c r="D120" s="534">
        <v>0.39954669999999998</v>
      </c>
      <c r="E120" s="534">
        <v>0.68040970000000001</v>
      </c>
      <c r="F120" s="534">
        <v>0.93255279999999996</v>
      </c>
      <c r="G120" s="534">
        <v>0.94445489999999999</v>
      </c>
      <c r="H120" s="534">
        <v>1.0172079999999999</v>
      </c>
      <c r="I120" s="534">
        <v>1.1140840000000001</v>
      </c>
      <c r="J120" s="534">
        <v>0.7504902</v>
      </c>
      <c r="K120" s="534">
        <v>1.050789</v>
      </c>
      <c r="L120" s="534">
        <v>0.82023849999999998</v>
      </c>
      <c r="M120" s="534">
        <v>0.88454739999999998</v>
      </c>
      <c r="N120" s="7">
        <v>0.76953470000000002</v>
      </c>
      <c r="O120" s="7">
        <v>0.81031439999999999</v>
      </c>
      <c r="P120" s="7">
        <v>1.042592</v>
      </c>
      <c r="Q120" s="7">
        <v>0.88398560000000004</v>
      </c>
      <c r="R120" s="7">
        <v>0.6674194</v>
      </c>
      <c r="S120" s="7">
        <v>0.72202469999999996</v>
      </c>
      <c r="T120" s="7">
        <v>0.689249</v>
      </c>
      <c r="U120" s="7">
        <v>0.67532499999999995</v>
      </c>
      <c r="V120" s="7">
        <v>0.61308149999999995</v>
      </c>
      <c r="W120" s="7">
        <v>0.60499599999999998</v>
      </c>
      <c r="X120" s="7">
        <v>0.55672350000000004</v>
      </c>
      <c r="Y120" s="7">
        <v>0.56007949999999995</v>
      </c>
      <c r="Z120" s="8">
        <v>0.57206509999999999</v>
      </c>
      <c r="AA120" s="8">
        <v>0.5927557</v>
      </c>
      <c r="AB120" s="8">
        <v>0.68086360000000001</v>
      </c>
      <c r="AC120" s="8">
        <v>0.65800579999999997</v>
      </c>
      <c r="AD120" s="8">
        <v>0.61513660000000003</v>
      </c>
    </row>
    <row r="121" spans="1:30">
      <c r="A121" s="22">
        <v>565</v>
      </c>
      <c r="B121" s="22" t="s">
        <v>120</v>
      </c>
      <c r="C121" s="534">
        <v>1.8264670000000001</v>
      </c>
      <c r="D121" s="534">
        <v>2.0073300000000001</v>
      </c>
      <c r="E121" s="534">
        <v>2.075402</v>
      </c>
      <c r="F121" s="534">
        <v>2.1852019999999999</v>
      </c>
      <c r="G121" s="534">
        <v>2.130503</v>
      </c>
      <c r="H121" s="534">
        <v>2.0035829999999999</v>
      </c>
      <c r="I121" s="534">
        <v>2.0287929999999998</v>
      </c>
      <c r="J121" s="534">
        <v>1.830659</v>
      </c>
      <c r="K121" s="534">
        <v>1.9043049999999999</v>
      </c>
      <c r="L121" s="534">
        <v>1.8143659999999999</v>
      </c>
      <c r="M121" s="534">
        <v>1.6828920000000001</v>
      </c>
      <c r="N121" s="7">
        <v>1.9626429999999999</v>
      </c>
      <c r="O121" s="7">
        <v>1.865302</v>
      </c>
      <c r="P121" s="7">
        <v>1.8116760000000001</v>
      </c>
      <c r="Q121" s="7">
        <v>1.7170099999999999</v>
      </c>
      <c r="R121" s="7">
        <v>1.780276</v>
      </c>
      <c r="S121" s="7">
        <v>1.6416120000000001</v>
      </c>
      <c r="T121" s="7">
        <v>1.890614</v>
      </c>
      <c r="U121" s="7">
        <v>1.790829</v>
      </c>
      <c r="V121" s="7">
        <v>1.9133880000000001</v>
      </c>
      <c r="W121" s="7">
        <v>1.7616799999999999</v>
      </c>
      <c r="X121" s="7">
        <v>1.7205349999999999</v>
      </c>
      <c r="Y121" s="7">
        <v>1.660927</v>
      </c>
      <c r="Z121" s="8">
        <v>1.657923</v>
      </c>
      <c r="AA121" s="8">
        <v>1.5129410000000001</v>
      </c>
      <c r="AB121" s="8">
        <v>1.7268969999999999</v>
      </c>
      <c r="AC121" s="8">
        <v>1.6863220000000001</v>
      </c>
      <c r="AD121" s="8">
        <v>1.897859</v>
      </c>
    </row>
    <row r="122" spans="1:30">
      <c r="A122" s="22">
        <v>790</v>
      </c>
      <c r="B122" s="22" t="s">
        <v>167</v>
      </c>
      <c r="C122" s="534">
        <v>0.53394470000000005</v>
      </c>
      <c r="D122" s="534">
        <v>0.60252790000000001</v>
      </c>
      <c r="E122" s="534">
        <v>0.580233</v>
      </c>
      <c r="F122" s="534">
        <v>0.5814452</v>
      </c>
      <c r="G122" s="534">
        <v>0.58385549999999997</v>
      </c>
      <c r="H122" s="534">
        <v>0.61877179999999998</v>
      </c>
      <c r="I122" s="534">
        <v>0.56819909999999996</v>
      </c>
      <c r="J122" s="534">
        <v>0.60698989999999997</v>
      </c>
      <c r="K122" s="534">
        <v>0.67774990000000002</v>
      </c>
      <c r="L122" s="534">
        <v>0.6483641</v>
      </c>
      <c r="M122" s="534">
        <v>0.54810599999999998</v>
      </c>
      <c r="N122" s="7">
        <v>0.50823479999999999</v>
      </c>
      <c r="O122" s="7">
        <v>0.48370659999999999</v>
      </c>
      <c r="P122" s="7">
        <v>0.48968309999999998</v>
      </c>
      <c r="Q122" s="7">
        <v>0.55362849999999997</v>
      </c>
      <c r="R122" s="7">
        <v>0.64129259999999999</v>
      </c>
      <c r="S122" s="7">
        <v>0.62826579999999999</v>
      </c>
      <c r="T122" s="7">
        <v>0.60904449999999999</v>
      </c>
      <c r="U122" s="7">
        <v>0.60714270000000004</v>
      </c>
      <c r="V122" s="7">
        <v>0.58666370000000001</v>
      </c>
      <c r="W122" s="7">
        <v>0.61876070000000005</v>
      </c>
      <c r="X122" s="7">
        <v>0.60816579999999998</v>
      </c>
      <c r="Y122" s="7">
        <v>0.63154699999999997</v>
      </c>
      <c r="Z122" s="8">
        <v>0.66444740000000002</v>
      </c>
      <c r="AA122" s="8">
        <v>0.6625008</v>
      </c>
      <c r="AB122" s="8">
        <v>0.70954410000000001</v>
      </c>
      <c r="AC122" s="8">
        <v>0.66557299999999997</v>
      </c>
      <c r="AD122" s="8">
        <v>0.73331559999999996</v>
      </c>
    </row>
    <row r="123" spans="1:30">
      <c r="A123" s="22">
        <v>210</v>
      </c>
      <c r="B123" s="22" t="s">
        <v>37</v>
      </c>
      <c r="C123" s="534">
        <v>1.255064</v>
      </c>
      <c r="D123" s="534">
        <v>1.1581440000000001</v>
      </c>
      <c r="E123" s="534">
        <v>1.112932</v>
      </c>
      <c r="F123" s="534">
        <v>1.1456120000000001</v>
      </c>
      <c r="G123" s="534">
        <v>1.0724990000000001</v>
      </c>
      <c r="H123" s="534">
        <v>1.0625709999999999</v>
      </c>
      <c r="I123" s="534">
        <v>1.1460090000000001</v>
      </c>
      <c r="J123" s="534">
        <v>1.258097</v>
      </c>
      <c r="K123" s="534">
        <v>1.298802</v>
      </c>
      <c r="L123" s="534">
        <v>1.16455</v>
      </c>
      <c r="M123" s="534">
        <v>1.1416869999999999</v>
      </c>
      <c r="N123" s="7">
        <v>1.2660910000000001</v>
      </c>
      <c r="O123" s="7">
        <v>1.256472</v>
      </c>
      <c r="P123" s="7">
        <v>1.2654460000000001</v>
      </c>
      <c r="Q123" s="7">
        <v>1.3125180000000001</v>
      </c>
      <c r="R123" s="7">
        <v>1.066211</v>
      </c>
      <c r="S123" s="7">
        <v>1.120242</v>
      </c>
      <c r="T123" s="7">
        <v>1.059626</v>
      </c>
      <c r="U123" s="7">
        <v>1.0532950000000001</v>
      </c>
      <c r="V123" s="7">
        <v>1.056516</v>
      </c>
      <c r="W123" s="7">
        <v>1.0320039999999999</v>
      </c>
      <c r="X123" s="7">
        <v>1.0846990000000001</v>
      </c>
      <c r="Y123" s="7">
        <v>1.072227</v>
      </c>
      <c r="Z123" s="8">
        <v>1.032103</v>
      </c>
      <c r="AA123" s="8">
        <v>1.0282929999999999</v>
      </c>
      <c r="AB123" s="8">
        <v>1.09152</v>
      </c>
      <c r="AC123" s="8">
        <v>1.1232979999999999</v>
      </c>
      <c r="AD123" s="8">
        <v>1.137783</v>
      </c>
    </row>
    <row r="124" spans="1:30">
      <c r="A124" s="22">
        <v>920</v>
      </c>
      <c r="B124" s="22" t="s">
        <v>179</v>
      </c>
      <c r="C124" s="534">
        <v>1.254534</v>
      </c>
      <c r="D124" s="534">
        <v>1.3267739999999999</v>
      </c>
      <c r="E124" s="534">
        <v>1.0973170000000001</v>
      </c>
      <c r="F124" s="534">
        <v>1.0006729999999999</v>
      </c>
      <c r="G124" s="534">
        <v>1.0360229999999999</v>
      </c>
      <c r="H124" s="534">
        <v>1.0542549999999999</v>
      </c>
      <c r="I124" s="534">
        <v>1.148714</v>
      </c>
      <c r="J124" s="534">
        <v>1.2494369999999999</v>
      </c>
      <c r="K124" s="534">
        <v>1.167829</v>
      </c>
      <c r="L124" s="534">
        <v>1.0913409999999999</v>
      </c>
      <c r="M124" s="534">
        <v>1.131626</v>
      </c>
      <c r="N124" s="7">
        <v>0.96638880000000005</v>
      </c>
      <c r="O124" s="7">
        <v>0.83885259999999995</v>
      </c>
      <c r="P124" s="7">
        <v>0.82501480000000005</v>
      </c>
      <c r="Q124" s="7">
        <v>0.94671260000000002</v>
      </c>
      <c r="R124" s="7">
        <v>0.93812189999999995</v>
      </c>
      <c r="S124" s="7">
        <v>0.96012690000000001</v>
      </c>
      <c r="T124" s="7">
        <v>0.86995520000000004</v>
      </c>
      <c r="U124" s="7">
        <v>0.9084932</v>
      </c>
      <c r="V124" s="7">
        <v>0.80477980000000005</v>
      </c>
      <c r="W124" s="7">
        <v>0.71281249999999996</v>
      </c>
      <c r="X124" s="7">
        <v>1.1202859999999999</v>
      </c>
      <c r="Y124" s="7">
        <v>1.570362</v>
      </c>
      <c r="Z124" s="8">
        <v>1.2349140000000001</v>
      </c>
      <c r="AA124" s="8">
        <v>1.3579079999999999</v>
      </c>
      <c r="AB124" s="8">
        <v>1.4953989999999999</v>
      </c>
      <c r="AC124" s="8">
        <v>1.563553</v>
      </c>
      <c r="AD124" s="8">
        <v>1.378091</v>
      </c>
    </row>
    <row r="125" spans="1:30">
      <c r="A125" s="22">
        <v>93</v>
      </c>
      <c r="B125" s="22" t="s">
        <v>20</v>
      </c>
      <c r="C125" s="534">
        <v>1.5469999999999999</v>
      </c>
      <c r="D125" s="534">
        <v>1.7642979999999999</v>
      </c>
      <c r="E125" s="534">
        <v>1.805437</v>
      </c>
      <c r="F125" s="534">
        <v>2.3467660000000001</v>
      </c>
      <c r="G125" s="534">
        <v>2.8886539999999998</v>
      </c>
      <c r="H125" s="534">
        <v>2.3820790000000001</v>
      </c>
      <c r="I125" s="534">
        <v>2.4485769999999998</v>
      </c>
      <c r="J125" s="534">
        <v>2.2768190000000001</v>
      </c>
      <c r="K125" s="534">
        <v>2.3499810000000001</v>
      </c>
      <c r="L125" s="534">
        <v>1.4088940000000001</v>
      </c>
      <c r="M125" s="534">
        <v>1.677827</v>
      </c>
      <c r="N125" s="7">
        <v>1.1830350000000001</v>
      </c>
      <c r="O125" s="7">
        <v>1.3178339999999999</v>
      </c>
      <c r="P125" s="7">
        <v>1.2541329999999999</v>
      </c>
      <c r="Q125" s="7">
        <v>0.71288989999999997</v>
      </c>
      <c r="R125" s="7">
        <v>0.70374979999999998</v>
      </c>
      <c r="S125" s="7">
        <v>0.70329549999999996</v>
      </c>
      <c r="T125" s="7">
        <v>0.77872779999999997</v>
      </c>
      <c r="U125" s="7">
        <v>0.74658179999999996</v>
      </c>
      <c r="V125" s="7">
        <v>0.73647819999999997</v>
      </c>
      <c r="W125" s="7">
        <v>0.72596910000000003</v>
      </c>
      <c r="X125" s="7">
        <v>0.56872900000000004</v>
      </c>
      <c r="Y125" s="7">
        <v>0.60751509999999997</v>
      </c>
      <c r="Z125" s="8">
        <v>0.71137609999999996</v>
      </c>
      <c r="AA125" s="8">
        <v>0.74453939999999996</v>
      </c>
      <c r="AB125" s="8">
        <v>0.80137510000000001</v>
      </c>
      <c r="AC125" s="8">
        <v>0.85554920000000001</v>
      </c>
      <c r="AD125" s="8">
        <v>0.81355569999999999</v>
      </c>
    </row>
    <row r="126" spans="1:30">
      <c r="A126" s="22">
        <v>436</v>
      </c>
      <c r="B126" s="22" t="s">
        <v>90</v>
      </c>
      <c r="C126" s="534">
        <v>0.91230109999999998</v>
      </c>
      <c r="D126" s="534">
        <v>1.335046</v>
      </c>
      <c r="E126" s="534">
        <v>1.222405</v>
      </c>
      <c r="F126" s="534">
        <v>0.89477969999999996</v>
      </c>
      <c r="G126" s="534">
        <v>0.74189079999999996</v>
      </c>
      <c r="H126" s="534">
        <v>1.5245759999999999</v>
      </c>
      <c r="I126" s="534">
        <v>3.3209749999999998</v>
      </c>
      <c r="J126" s="534">
        <v>1.6414679999999999</v>
      </c>
      <c r="K126" s="534">
        <v>2.2500589999999998</v>
      </c>
      <c r="L126" s="534">
        <v>2.2813300000000001</v>
      </c>
      <c r="M126" s="534">
        <v>2.4249610000000001</v>
      </c>
      <c r="N126" s="7">
        <v>1.0086360000000001</v>
      </c>
      <c r="O126" s="7">
        <v>0.57030049999999999</v>
      </c>
      <c r="P126" s="7">
        <v>0.49269259999999998</v>
      </c>
      <c r="Q126" s="7">
        <v>0.40033170000000001</v>
      </c>
      <c r="R126" s="7">
        <v>0.47654410000000003</v>
      </c>
      <c r="S126" s="7">
        <v>0.49101309999999998</v>
      </c>
      <c r="T126" s="7">
        <v>0.53430710000000003</v>
      </c>
      <c r="U126" s="7">
        <v>0.57492500000000002</v>
      </c>
      <c r="V126" s="7">
        <v>0.60028700000000002</v>
      </c>
      <c r="W126" s="7">
        <v>0.57910220000000001</v>
      </c>
      <c r="X126" s="7">
        <v>0.61333380000000004</v>
      </c>
      <c r="Y126" s="7">
        <v>0.6982334</v>
      </c>
      <c r="Z126" s="8">
        <v>0.70474179999999997</v>
      </c>
      <c r="AA126" s="8">
        <v>0.76497470000000001</v>
      </c>
      <c r="AB126" s="8">
        <v>0.69471450000000001</v>
      </c>
      <c r="AC126" s="8">
        <v>0.75191520000000001</v>
      </c>
      <c r="AD126" s="8">
        <v>0.68058470000000004</v>
      </c>
    </row>
    <row r="127" spans="1:30">
      <c r="A127" s="22">
        <v>475</v>
      </c>
      <c r="B127" s="22" t="s">
        <v>99</v>
      </c>
      <c r="C127" s="534">
        <v>1.7590380000000001</v>
      </c>
      <c r="D127" s="534">
        <v>1.5214479999999999</v>
      </c>
      <c r="E127" s="534">
        <v>1.4762379999999999</v>
      </c>
      <c r="F127" s="534">
        <v>1.704907</v>
      </c>
      <c r="G127" s="534">
        <v>1.2626470000000001</v>
      </c>
      <c r="H127" s="534">
        <v>0.80085090000000003</v>
      </c>
      <c r="I127" s="534">
        <v>0.81561320000000004</v>
      </c>
      <c r="J127" s="534">
        <v>0.36414609999999997</v>
      </c>
      <c r="K127" s="534">
        <v>0.146587</v>
      </c>
      <c r="L127" s="534">
        <v>2.1396600000000002E-2</v>
      </c>
      <c r="M127" s="534">
        <v>0.2067367</v>
      </c>
      <c r="N127" s="7">
        <v>4.2636500000000001E-2</v>
      </c>
      <c r="O127" s="7">
        <v>0.17736399999999999</v>
      </c>
      <c r="P127" s="7">
        <v>0.35101090000000001</v>
      </c>
      <c r="Q127" s="7">
        <v>0.357155</v>
      </c>
      <c r="R127" s="7">
        <v>0.52266310000000005</v>
      </c>
      <c r="S127" s="7">
        <v>0.51941720000000002</v>
      </c>
      <c r="T127" s="7">
        <v>0.57410589999999995</v>
      </c>
      <c r="U127" s="7">
        <v>0.57304999999999995</v>
      </c>
      <c r="V127" s="7">
        <v>0.61488710000000002</v>
      </c>
      <c r="W127" s="7">
        <v>0.81727470000000002</v>
      </c>
      <c r="X127" s="7">
        <v>1.046111</v>
      </c>
      <c r="Y127" s="7">
        <v>0.90987620000000002</v>
      </c>
      <c r="Z127" s="8">
        <v>0.97951080000000001</v>
      </c>
      <c r="AA127" s="8">
        <v>1.0892489999999999</v>
      </c>
      <c r="AB127" s="8">
        <v>0.50846480000000005</v>
      </c>
      <c r="AC127" s="8">
        <v>0.55225619999999997</v>
      </c>
      <c r="AD127" s="8">
        <v>0.57986839999999995</v>
      </c>
    </row>
    <row r="128" spans="1:30">
      <c r="A128" s="22">
        <v>385</v>
      </c>
      <c r="B128" s="22" t="s">
        <v>78</v>
      </c>
      <c r="C128" s="534">
        <v>1.301261</v>
      </c>
      <c r="D128" s="534">
        <v>1.360433</v>
      </c>
      <c r="E128" s="534">
        <v>1.3197209999999999</v>
      </c>
      <c r="F128" s="534">
        <v>1.30416</v>
      </c>
      <c r="G128" s="534">
        <v>1.3171999999999999</v>
      </c>
      <c r="H128" s="534">
        <v>1.3531500000000001</v>
      </c>
      <c r="I128" s="534">
        <v>1.4228559999999999</v>
      </c>
      <c r="J128" s="534">
        <v>1.3366260000000001</v>
      </c>
      <c r="K128" s="534">
        <v>1.2568250000000001</v>
      </c>
      <c r="L128" s="534">
        <v>1.1575169999999999</v>
      </c>
      <c r="M128" s="534">
        <v>1.016195</v>
      </c>
      <c r="N128" s="7">
        <v>1.0178160000000001</v>
      </c>
      <c r="O128" s="7">
        <v>0.9613022</v>
      </c>
      <c r="P128" s="7">
        <v>0.94373759999999995</v>
      </c>
      <c r="Q128" s="7">
        <v>0.99198660000000005</v>
      </c>
      <c r="R128" s="7">
        <v>1.0270779999999999</v>
      </c>
      <c r="S128" s="7">
        <v>1.022213</v>
      </c>
      <c r="T128" s="7">
        <v>1.2479830000000001</v>
      </c>
      <c r="U128" s="7">
        <v>1.5427139999999999</v>
      </c>
      <c r="V128" s="7">
        <v>1.430215</v>
      </c>
      <c r="W128" s="7">
        <v>1.873904</v>
      </c>
      <c r="X128" s="7">
        <v>1.7715369999999999</v>
      </c>
      <c r="Y128" s="7">
        <v>1.770394</v>
      </c>
      <c r="Z128" s="8">
        <v>1.692971</v>
      </c>
      <c r="AA128" s="8">
        <v>1.7906679999999999</v>
      </c>
      <c r="AB128" s="8">
        <v>1.862466</v>
      </c>
      <c r="AC128" s="8">
        <v>1.9573100000000001</v>
      </c>
      <c r="AD128" s="8">
        <v>1.9469289999999999</v>
      </c>
    </row>
    <row r="129" spans="1:30">
      <c r="A129" s="22">
        <v>698</v>
      </c>
      <c r="B129" s="22" t="s">
        <v>147</v>
      </c>
      <c r="C129" s="534">
        <v>0.49817879999999998</v>
      </c>
      <c r="D129" s="534">
        <v>0.61072499999999996</v>
      </c>
      <c r="E129" s="534">
        <v>0.55735939999999995</v>
      </c>
      <c r="F129" s="534">
        <v>0.58900229999999998</v>
      </c>
      <c r="G129" s="534">
        <v>0.60354459999999999</v>
      </c>
      <c r="H129" s="534">
        <v>0.63033490000000003</v>
      </c>
      <c r="I129" s="534">
        <v>0.46032580000000001</v>
      </c>
      <c r="J129" s="534">
        <v>0.49489509999999998</v>
      </c>
      <c r="K129" s="534">
        <v>0.4874696</v>
      </c>
      <c r="L129" s="534">
        <v>0.60952580000000001</v>
      </c>
      <c r="M129" s="534">
        <v>0.34530499999999997</v>
      </c>
      <c r="N129" s="7">
        <v>0.41658810000000002</v>
      </c>
      <c r="O129" s="7">
        <v>0.58358900000000002</v>
      </c>
      <c r="P129" s="7">
        <v>0.73791580000000001</v>
      </c>
      <c r="Q129" s="7">
        <v>0.79751209999999995</v>
      </c>
      <c r="R129" s="7">
        <v>0.73056080000000001</v>
      </c>
      <c r="S129" s="7">
        <v>0.69732280000000002</v>
      </c>
      <c r="T129" s="7">
        <v>0.70396040000000004</v>
      </c>
      <c r="U129" s="7">
        <v>0.52893809999999997</v>
      </c>
      <c r="V129" s="7">
        <v>0.59786950000000005</v>
      </c>
      <c r="W129" s="7">
        <v>0.54595119999999997</v>
      </c>
      <c r="X129" s="7">
        <v>0.56635310000000005</v>
      </c>
      <c r="Y129" s="7">
        <v>0.46356019999999998</v>
      </c>
      <c r="Z129" s="8">
        <v>0.47341860000000002</v>
      </c>
      <c r="AA129" s="8">
        <v>0.37235889999999999</v>
      </c>
      <c r="AB129" s="8">
        <v>0.32539560000000001</v>
      </c>
      <c r="AC129" s="8">
        <v>0.34025660000000002</v>
      </c>
      <c r="AD129" s="8">
        <v>0.4734602</v>
      </c>
    </row>
    <row r="130" spans="1:30">
      <c r="A130" s="22">
        <v>770</v>
      </c>
      <c r="B130" s="22" t="s">
        <v>162</v>
      </c>
      <c r="C130" s="534">
        <v>0.9701227</v>
      </c>
      <c r="D130" s="534">
        <v>1.001682</v>
      </c>
      <c r="E130" s="534">
        <v>0.9190933</v>
      </c>
      <c r="F130" s="534">
        <v>0.93276749999999997</v>
      </c>
      <c r="G130" s="534">
        <v>0.96691170000000004</v>
      </c>
      <c r="H130" s="534">
        <v>0.88113160000000001</v>
      </c>
      <c r="I130" s="534">
        <v>0.96115879999999998</v>
      </c>
      <c r="J130" s="534">
        <v>0.96394020000000002</v>
      </c>
      <c r="K130" s="534">
        <v>0.92484049999999995</v>
      </c>
      <c r="L130" s="534">
        <v>0.96412940000000003</v>
      </c>
      <c r="M130" s="534">
        <v>0.91508290000000003</v>
      </c>
      <c r="N130" s="7">
        <v>0.82574049999999999</v>
      </c>
      <c r="O130" s="7">
        <v>0.89008229999999999</v>
      </c>
      <c r="P130" s="7">
        <v>0.87573939999999995</v>
      </c>
      <c r="Q130" s="7">
        <v>0.8641837</v>
      </c>
      <c r="R130" s="7">
        <v>0.90219870000000002</v>
      </c>
      <c r="S130" s="7">
        <v>0.95359090000000002</v>
      </c>
      <c r="T130" s="7">
        <v>0.8669422</v>
      </c>
      <c r="U130" s="7">
        <v>0.87633939999999999</v>
      </c>
      <c r="V130" s="7">
        <v>0.77983590000000003</v>
      </c>
      <c r="W130" s="7">
        <v>0.69869079999999995</v>
      </c>
      <c r="X130" s="7">
        <v>0.55084440000000001</v>
      </c>
      <c r="Y130" s="7">
        <v>0.64235229999999999</v>
      </c>
      <c r="Z130" s="8">
        <v>0.67783329999999997</v>
      </c>
      <c r="AA130" s="8">
        <v>0.61627019999999999</v>
      </c>
      <c r="AB130" s="8">
        <v>0.58430230000000005</v>
      </c>
      <c r="AC130" s="8">
        <v>0.57848219999999995</v>
      </c>
      <c r="AD130" s="8">
        <v>0.51755709999999999</v>
      </c>
    </row>
    <row r="131" spans="1:30">
      <c r="A131" s="22">
        <v>986</v>
      </c>
      <c r="B131" s="22" t="s">
        <v>188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19"/>
      <c r="AA131" s="19"/>
      <c r="AB131" s="19"/>
      <c r="AC131" s="19"/>
      <c r="AD131" s="19"/>
    </row>
    <row r="132" spans="1:30">
      <c r="A132" s="22">
        <v>95</v>
      </c>
      <c r="B132" s="22" t="s">
        <v>22</v>
      </c>
      <c r="C132" s="534">
        <v>0.86400010000000005</v>
      </c>
      <c r="D132" s="534">
        <v>0.88448599999999999</v>
      </c>
      <c r="E132" s="534">
        <v>0.95174400000000003</v>
      </c>
      <c r="F132" s="534">
        <v>1.0340370000000001</v>
      </c>
      <c r="G132" s="534">
        <v>0.99178880000000003</v>
      </c>
      <c r="H132" s="534">
        <v>0.85322220000000004</v>
      </c>
      <c r="I132" s="534">
        <v>0.88403900000000002</v>
      </c>
      <c r="J132" s="534">
        <v>0.90824970000000005</v>
      </c>
      <c r="K132" s="534">
        <v>0.78910760000000002</v>
      </c>
      <c r="L132" s="534">
        <v>0.71183549999999995</v>
      </c>
      <c r="M132" s="534">
        <v>0.73519120000000004</v>
      </c>
      <c r="N132" s="7">
        <v>0.75366960000000005</v>
      </c>
      <c r="O132" s="7">
        <v>0.72233029999999998</v>
      </c>
      <c r="P132" s="7">
        <v>0.69606639999999997</v>
      </c>
      <c r="Q132" s="7">
        <v>0.68562540000000005</v>
      </c>
      <c r="R132" s="7">
        <v>0.71252919999999997</v>
      </c>
      <c r="S132" s="7">
        <v>0.56146039999999997</v>
      </c>
      <c r="T132" s="7">
        <v>0.57645539999999995</v>
      </c>
      <c r="U132" s="7">
        <v>0.5520195</v>
      </c>
      <c r="V132" s="7">
        <v>0.57008300000000001</v>
      </c>
      <c r="W132" s="7">
        <v>0.58981810000000001</v>
      </c>
      <c r="X132" s="7">
        <v>0.66677549999999997</v>
      </c>
      <c r="Y132" s="7">
        <v>0.80968620000000002</v>
      </c>
      <c r="Z132" s="8">
        <v>0.67986579999999996</v>
      </c>
      <c r="AA132" s="8">
        <v>0.56598230000000005</v>
      </c>
      <c r="AB132" s="8">
        <v>0.64535160000000003</v>
      </c>
      <c r="AC132" s="8">
        <v>0.9246316</v>
      </c>
      <c r="AD132" s="8">
        <v>1.1101639999999999</v>
      </c>
    </row>
    <row r="133" spans="1:30">
      <c r="A133" s="22">
        <v>910</v>
      </c>
      <c r="B133" s="22" t="s">
        <v>178</v>
      </c>
      <c r="C133" s="534">
        <v>1.305083</v>
      </c>
      <c r="D133" s="534">
        <v>1.3210040000000001</v>
      </c>
      <c r="E133" s="534">
        <v>1.2302740000000001</v>
      </c>
      <c r="F133" s="534">
        <v>1.18137</v>
      </c>
      <c r="G133" s="534">
        <v>1.3423389999999999</v>
      </c>
      <c r="H133" s="534">
        <v>1.164034</v>
      </c>
      <c r="I133" s="534">
        <v>1.123119</v>
      </c>
      <c r="J133" s="534">
        <v>1.0892200000000001</v>
      </c>
      <c r="K133" s="534">
        <v>1.0544800000000001</v>
      </c>
      <c r="L133" s="534">
        <v>1.5275510000000001</v>
      </c>
      <c r="M133" s="534">
        <v>1.2252529999999999</v>
      </c>
      <c r="N133" s="7">
        <v>1.0548139999999999</v>
      </c>
      <c r="O133" s="7">
        <v>1.0242819999999999</v>
      </c>
      <c r="P133" s="7">
        <v>1.096074</v>
      </c>
      <c r="Q133" s="7">
        <v>1.0672140000000001</v>
      </c>
      <c r="R133" s="7">
        <v>1.0636300000000001</v>
      </c>
      <c r="S133" s="7">
        <v>1.239233</v>
      </c>
      <c r="T133" s="7">
        <v>1.2854289999999999</v>
      </c>
      <c r="U133" s="7">
        <v>1.0598959999999999</v>
      </c>
      <c r="V133" s="7">
        <v>1.201006</v>
      </c>
      <c r="W133" s="7">
        <v>1.2419420000000001</v>
      </c>
      <c r="X133" s="7">
        <v>1.3364180000000001</v>
      </c>
      <c r="Y133" s="7">
        <v>1.2164649999999999</v>
      </c>
      <c r="Z133" s="8">
        <v>1.208229</v>
      </c>
      <c r="AA133" s="8">
        <v>1.4296489999999999</v>
      </c>
      <c r="AB133" s="8">
        <v>1.3780479999999999</v>
      </c>
      <c r="AC133" s="8">
        <v>1.594303</v>
      </c>
      <c r="AD133" s="8">
        <v>1.6677850000000001</v>
      </c>
    </row>
    <row r="134" spans="1:30">
      <c r="A134" s="22">
        <v>150</v>
      </c>
      <c r="B134" s="22" t="s">
        <v>31</v>
      </c>
      <c r="C134" s="534">
        <v>0.70084069999999998</v>
      </c>
      <c r="D134" s="534">
        <v>0.6119059</v>
      </c>
      <c r="E134" s="534">
        <v>0.53828580000000004</v>
      </c>
      <c r="F134" s="534">
        <v>0.37387969999999998</v>
      </c>
      <c r="G134" s="534">
        <v>0.3581239</v>
      </c>
      <c r="H134" s="534">
        <v>0.42585070000000003</v>
      </c>
      <c r="I134" s="534">
        <v>0.44459880000000002</v>
      </c>
      <c r="J134" s="534">
        <v>0.49298439999999999</v>
      </c>
      <c r="K134" s="534">
        <v>0.51409950000000004</v>
      </c>
      <c r="L134" s="534">
        <v>0.53912260000000001</v>
      </c>
      <c r="M134" s="534">
        <v>0.57660370000000005</v>
      </c>
      <c r="N134" s="7">
        <v>0.5862927</v>
      </c>
      <c r="O134" s="7">
        <v>0.64202530000000002</v>
      </c>
      <c r="P134" s="7">
        <v>0.57610740000000005</v>
      </c>
      <c r="Q134" s="7">
        <v>0.6304864</v>
      </c>
      <c r="R134" s="7">
        <v>0.62269059999999998</v>
      </c>
      <c r="S134" s="7">
        <v>0.44168010000000002</v>
      </c>
      <c r="T134" s="7">
        <v>0.43171480000000001</v>
      </c>
      <c r="U134" s="7">
        <v>0.42406430000000001</v>
      </c>
      <c r="V134" s="7">
        <v>0.40037719999999999</v>
      </c>
      <c r="W134" s="7">
        <v>0.40455809999999998</v>
      </c>
      <c r="X134" s="7">
        <v>0.53649849999999999</v>
      </c>
      <c r="Y134" s="7">
        <v>0.50185080000000004</v>
      </c>
      <c r="Z134" s="8">
        <v>0.39815739999999999</v>
      </c>
      <c r="AA134" s="8">
        <v>0.48026150000000001</v>
      </c>
      <c r="AB134" s="8">
        <v>0.48820930000000001</v>
      </c>
      <c r="AC134" s="8">
        <v>0.53896239999999995</v>
      </c>
      <c r="AD134" s="8">
        <v>0.56579380000000001</v>
      </c>
    </row>
    <row r="135" spans="1:30">
      <c r="A135" s="22">
        <v>135</v>
      </c>
      <c r="B135" s="22" t="s">
        <v>28</v>
      </c>
      <c r="C135" s="534">
        <v>0.47754089999999999</v>
      </c>
      <c r="D135" s="534">
        <v>0.64559029999999995</v>
      </c>
      <c r="E135" s="534">
        <v>0.56803879999999995</v>
      </c>
      <c r="F135" s="534">
        <v>0.572017</v>
      </c>
      <c r="G135" s="534">
        <v>0.36622080000000001</v>
      </c>
      <c r="H135" s="534">
        <v>0.48793769999999997</v>
      </c>
      <c r="I135" s="534">
        <v>0.66712000000000005</v>
      </c>
      <c r="J135" s="534">
        <v>0.48268359999999999</v>
      </c>
      <c r="K135" s="534">
        <v>0.56417459999999997</v>
      </c>
      <c r="L135" s="534">
        <v>0.42031479999999999</v>
      </c>
      <c r="M135" s="534">
        <v>0.81342829999999999</v>
      </c>
      <c r="N135" s="7">
        <v>0.83650899999999995</v>
      </c>
      <c r="O135" s="7">
        <v>0.90031490000000003</v>
      </c>
      <c r="P135" s="7">
        <v>0.91785410000000001</v>
      </c>
      <c r="Q135" s="7">
        <v>0.99402060000000003</v>
      </c>
      <c r="R135" s="7">
        <v>1.039296</v>
      </c>
      <c r="S135" s="7">
        <v>1.1038269999999999</v>
      </c>
      <c r="T135" s="7">
        <v>1.0648359999999999</v>
      </c>
      <c r="U135" s="7">
        <v>1.0443439999999999</v>
      </c>
      <c r="V135" s="7">
        <v>0.93523690000000004</v>
      </c>
      <c r="W135" s="7">
        <v>0.9488451</v>
      </c>
      <c r="X135" s="7">
        <v>0.92392479999999999</v>
      </c>
      <c r="Y135" s="7">
        <v>0.88438240000000001</v>
      </c>
      <c r="Z135" s="8">
        <v>0.89663329999999997</v>
      </c>
      <c r="AA135" s="8">
        <v>0.89835679999999996</v>
      </c>
      <c r="AB135" s="8">
        <v>0.96370060000000002</v>
      </c>
      <c r="AC135" s="8">
        <v>0.97197690000000003</v>
      </c>
      <c r="AD135" s="8">
        <v>0.99244529999999997</v>
      </c>
    </row>
    <row r="136" spans="1:30">
      <c r="A136" s="22">
        <v>840</v>
      </c>
      <c r="B136" s="22" t="s">
        <v>175</v>
      </c>
      <c r="C136" s="534">
        <v>0.85391119999999998</v>
      </c>
      <c r="D136" s="534">
        <v>0.76057160000000001</v>
      </c>
      <c r="E136" s="534">
        <v>0.74803390000000003</v>
      </c>
      <c r="F136" s="534">
        <v>0.77247410000000005</v>
      </c>
      <c r="G136" s="534">
        <v>0.68192269999999999</v>
      </c>
      <c r="H136" s="534">
        <v>0.72013959999999999</v>
      </c>
      <c r="I136" s="534">
        <v>0.7496659</v>
      </c>
      <c r="J136" s="534">
        <v>0.86855230000000005</v>
      </c>
      <c r="K136" s="534">
        <v>0.79781959999999996</v>
      </c>
      <c r="L136" s="534">
        <v>0.94367060000000003</v>
      </c>
      <c r="M136" s="534">
        <v>1.0001599999999999</v>
      </c>
      <c r="N136" s="7">
        <v>1.014</v>
      </c>
      <c r="O136" s="7">
        <v>1.072211</v>
      </c>
      <c r="P136" s="7">
        <v>1.0659879999999999</v>
      </c>
      <c r="Q136" s="7">
        <v>1.097777</v>
      </c>
      <c r="R136" s="7">
        <v>1.0964210000000001</v>
      </c>
      <c r="S136" s="7">
        <v>1.1160350000000001</v>
      </c>
      <c r="T136" s="7">
        <v>1.0728089999999999</v>
      </c>
      <c r="U136" s="7">
        <v>0.96459280000000003</v>
      </c>
      <c r="V136" s="7">
        <v>0.89593420000000001</v>
      </c>
      <c r="W136" s="7">
        <v>0.82485869999999994</v>
      </c>
      <c r="X136" s="7">
        <v>0.85700799999999999</v>
      </c>
      <c r="Y136" s="7">
        <v>0.76712769999999997</v>
      </c>
      <c r="Z136" s="8">
        <v>0.80982770000000004</v>
      </c>
      <c r="AA136" s="8">
        <v>0.78838660000000005</v>
      </c>
      <c r="AB136" s="8">
        <v>0.8273142</v>
      </c>
      <c r="AC136" s="8">
        <v>0.94861640000000003</v>
      </c>
      <c r="AD136" s="8">
        <v>0.84482109999999999</v>
      </c>
    </row>
    <row r="137" spans="1:30">
      <c r="A137" s="22">
        <v>290</v>
      </c>
      <c r="B137" s="22" t="s">
        <v>48</v>
      </c>
      <c r="G137" s="534">
        <v>2.4228260000000001</v>
      </c>
      <c r="H137" s="534">
        <v>2.5016069999999999</v>
      </c>
      <c r="I137" s="534">
        <v>2.4884219999999999</v>
      </c>
      <c r="J137" s="534">
        <v>2.3515130000000002</v>
      </c>
      <c r="K137" s="534">
        <v>2.5272990000000002</v>
      </c>
      <c r="L137" s="534">
        <v>2.213263</v>
      </c>
      <c r="M137" s="534">
        <v>1.9950000000000001</v>
      </c>
      <c r="N137" s="7">
        <v>1.737136</v>
      </c>
      <c r="O137" s="7">
        <v>1.8069500000000001</v>
      </c>
      <c r="P137" s="7">
        <v>2.414237</v>
      </c>
      <c r="Q137" s="7">
        <v>2.4914499999999999</v>
      </c>
      <c r="R137" s="7">
        <v>2.0553219999999999</v>
      </c>
      <c r="S137" s="7">
        <v>1.804033</v>
      </c>
      <c r="T137" s="7">
        <v>1.688313</v>
      </c>
      <c r="U137" s="7">
        <v>1.565868</v>
      </c>
      <c r="V137" s="7">
        <v>1.2243660000000001</v>
      </c>
      <c r="W137" s="7">
        <v>1.0892379999999999</v>
      </c>
      <c r="X137" s="7">
        <v>1.094662</v>
      </c>
      <c r="Y137" s="7">
        <v>1.110255</v>
      </c>
      <c r="Z137" s="8">
        <v>1.0589679999999999</v>
      </c>
      <c r="AA137" s="8">
        <v>0.88592070000000001</v>
      </c>
      <c r="AB137" s="8">
        <v>1.026867</v>
      </c>
      <c r="AC137" s="8">
        <v>0.99626979999999998</v>
      </c>
      <c r="AD137" s="8">
        <v>0.88015209999999999</v>
      </c>
    </row>
    <row r="138" spans="1:30">
      <c r="A138" s="22">
        <v>235</v>
      </c>
      <c r="B138" s="22" t="s">
        <v>46</v>
      </c>
      <c r="C138" s="534">
        <v>1.1491</v>
      </c>
      <c r="D138" s="534">
        <v>1.2396879999999999</v>
      </c>
      <c r="E138" s="534">
        <v>1.2772539999999999</v>
      </c>
      <c r="F138" s="534">
        <v>1.3567830000000001</v>
      </c>
      <c r="G138" s="534">
        <v>1.2948390000000001</v>
      </c>
      <c r="H138" s="534">
        <v>1.2982860000000001</v>
      </c>
      <c r="I138" s="534">
        <v>1.0588610000000001</v>
      </c>
      <c r="J138" s="534">
        <v>1.025347</v>
      </c>
      <c r="K138" s="534">
        <v>1.010588</v>
      </c>
      <c r="L138" s="534">
        <v>1.072255</v>
      </c>
      <c r="M138" s="534">
        <v>1.0729660000000001</v>
      </c>
      <c r="N138" s="7">
        <v>1.1182479999999999</v>
      </c>
      <c r="O138" s="7">
        <v>1.2422299999999999</v>
      </c>
      <c r="P138" s="7">
        <v>1.116608</v>
      </c>
      <c r="Q138" s="7">
        <v>1.1576</v>
      </c>
      <c r="R138" s="7">
        <v>1.169875</v>
      </c>
      <c r="S138" s="7">
        <v>0.97396340000000003</v>
      </c>
      <c r="T138" s="7">
        <v>1.0986229999999999</v>
      </c>
      <c r="U138" s="7">
        <v>1.0792310000000001</v>
      </c>
      <c r="V138" s="7">
        <v>1.124825</v>
      </c>
      <c r="W138" s="7">
        <v>1.1181289999999999</v>
      </c>
      <c r="X138" s="7">
        <v>1.0467880000000001</v>
      </c>
      <c r="Y138" s="7">
        <v>1.0725100000000001</v>
      </c>
      <c r="Z138" s="20">
        <v>1.1314200000000001</v>
      </c>
      <c r="AA138" s="20">
        <v>1.2119880000000001</v>
      </c>
      <c r="AB138" s="20">
        <v>1.144922</v>
      </c>
      <c r="AC138" s="20">
        <v>1.1792769999999999</v>
      </c>
      <c r="AD138" s="20">
        <v>1.1215520000000001</v>
      </c>
    </row>
    <row r="139" spans="1:30">
      <c r="A139" s="22">
        <v>694</v>
      </c>
      <c r="B139" s="22" t="s">
        <v>145</v>
      </c>
      <c r="C139" s="534">
        <v>2.43662</v>
      </c>
      <c r="D139" s="534">
        <v>2.2560389999999999</v>
      </c>
      <c r="E139" s="534">
        <v>1.782691</v>
      </c>
      <c r="F139" s="534">
        <v>1.546092</v>
      </c>
      <c r="G139" s="534">
        <v>1.199811</v>
      </c>
      <c r="H139" s="534">
        <v>0.83323979999999997</v>
      </c>
      <c r="I139" s="534">
        <v>1.1395850000000001</v>
      </c>
      <c r="J139" s="534">
        <v>0.57045120000000005</v>
      </c>
      <c r="K139" s="534">
        <v>1.000435</v>
      </c>
      <c r="L139" s="534">
        <v>1.1029119999999999</v>
      </c>
      <c r="M139" s="534">
        <v>0.51605250000000003</v>
      </c>
      <c r="N139" s="7">
        <v>0.82956050000000003</v>
      </c>
      <c r="O139" s="7">
        <v>0.81876879999999996</v>
      </c>
      <c r="P139" s="7">
        <v>0.85774399999999995</v>
      </c>
      <c r="Q139" s="7">
        <v>0.8641143</v>
      </c>
      <c r="R139" s="7">
        <v>0.83917319999999995</v>
      </c>
      <c r="S139" s="7">
        <v>0.87469609999999998</v>
      </c>
      <c r="T139" s="7">
        <v>0.74676699999999996</v>
      </c>
      <c r="U139" s="7">
        <v>0.79266130000000001</v>
      </c>
      <c r="V139" s="7">
        <v>0.43657059999999998</v>
      </c>
      <c r="W139" s="7">
        <v>0.38298349999999998</v>
      </c>
      <c r="X139" s="7">
        <v>0.51596189999999997</v>
      </c>
      <c r="Y139" s="7">
        <v>0.68725840000000005</v>
      </c>
      <c r="Z139" s="8">
        <v>0.5845842</v>
      </c>
      <c r="AA139" s="8">
        <v>1.0280609999999999</v>
      </c>
      <c r="AB139" s="8">
        <v>0.73991169999999995</v>
      </c>
      <c r="AC139" s="8">
        <v>1.491285</v>
      </c>
      <c r="AD139" s="8">
        <v>0.82367299999999999</v>
      </c>
    </row>
    <row r="140" spans="1:30">
      <c r="A140" s="22">
        <v>360</v>
      </c>
      <c r="B140" s="22" t="s">
        <v>66</v>
      </c>
      <c r="M140" s="534">
        <v>1.3560479999999999</v>
      </c>
      <c r="N140" s="7">
        <v>1.6266039999999999</v>
      </c>
      <c r="O140" s="7">
        <v>1.543652</v>
      </c>
      <c r="P140" s="7">
        <v>1.581674</v>
      </c>
      <c r="Q140" s="7">
        <v>1.4344049999999999</v>
      </c>
      <c r="R140" s="7">
        <v>1.5293410000000001</v>
      </c>
      <c r="S140" s="7">
        <v>1.4334229999999999</v>
      </c>
      <c r="T140" s="7">
        <v>1.4351640000000001</v>
      </c>
      <c r="U140" s="7">
        <v>1.4891779999999999</v>
      </c>
      <c r="V140" s="7">
        <v>1.3978520000000001</v>
      </c>
      <c r="W140" s="7">
        <v>1.3025150000000001</v>
      </c>
      <c r="X140" s="7">
        <v>1.3041180000000001</v>
      </c>
      <c r="Y140" s="7">
        <v>1.166609</v>
      </c>
      <c r="Z140" s="8">
        <v>1.2196819999999999</v>
      </c>
      <c r="AA140" s="8">
        <v>1.2820370000000001</v>
      </c>
      <c r="AB140" s="8">
        <v>1.276108</v>
      </c>
      <c r="AC140" s="8">
        <v>1.374158</v>
      </c>
      <c r="AD140" s="8">
        <v>1.3778900000000001</v>
      </c>
    </row>
    <row r="141" spans="1:30">
      <c r="A141" s="22">
        <v>365</v>
      </c>
      <c r="B141" s="22" t="s">
        <v>67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7"/>
      <c r="O141" s="7"/>
      <c r="P141" s="7">
        <v>2.0859779999999999</v>
      </c>
      <c r="Q141" s="7">
        <v>1.905079</v>
      </c>
      <c r="R141" s="7">
        <v>1.853653</v>
      </c>
      <c r="S141" s="7">
        <v>1.9038870000000001</v>
      </c>
      <c r="T141" s="7">
        <v>2.0672830000000002</v>
      </c>
      <c r="U141" s="7">
        <v>1.446861</v>
      </c>
      <c r="V141" s="7">
        <v>1.415708</v>
      </c>
      <c r="W141" s="7">
        <v>1.353777</v>
      </c>
      <c r="X141" s="7">
        <v>1.608088</v>
      </c>
      <c r="Y141" s="7">
        <v>1.680831</v>
      </c>
      <c r="Z141" s="8">
        <v>0.77266679999999999</v>
      </c>
      <c r="AA141" s="8">
        <v>0.69347519999999996</v>
      </c>
      <c r="AB141" s="8">
        <v>0.45786739999999998</v>
      </c>
      <c r="AC141" s="8">
        <v>0.50643009999999999</v>
      </c>
      <c r="AD141" s="8">
        <v>0.71939249999999999</v>
      </c>
    </row>
    <row r="142" spans="1:30">
      <c r="A142" s="22">
        <v>517</v>
      </c>
      <c r="B142" s="22" t="s">
        <v>109</v>
      </c>
      <c r="C142" s="534">
        <v>0.85710129999999995</v>
      </c>
      <c r="D142" s="534">
        <v>0.93422139999999998</v>
      </c>
      <c r="E142" s="534">
        <v>0.91137040000000002</v>
      </c>
      <c r="F142" s="534">
        <v>0.83023740000000001</v>
      </c>
      <c r="G142" s="534">
        <v>0.81914100000000001</v>
      </c>
      <c r="H142" s="534">
        <v>0.64841720000000003</v>
      </c>
      <c r="I142" s="534">
        <v>0.76018509999999995</v>
      </c>
      <c r="J142" s="534">
        <v>1.3163689999999999</v>
      </c>
      <c r="K142" s="534">
        <v>0.84702250000000001</v>
      </c>
      <c r="L142" s="534">
        <v>0.91331739999999995</v>
      </c>
      <c r="M142" s="534">
        <v>0.72918839999999996</v>
      </c>
      <c r="N142" s="7">
        <v>0.75326490000000002</v>
      </c>
      <c r="O142" s="7">
        <v>0.74014570000000002</v>
      </c>
      <c r="P142" s="7">
        <v>0.71562309999999996</v>
      </c>
      <c r="Q142" s="7">
        <v>0.18980259999999999</v>
      </c>
      <c r="R142" s="7">
        <v>0.47108179999999999</v>
      </c>
      <c r="S142" s="7">
        <v>0.64642299999999997</v>
      </c>
      <c r="T142" s="7">
        <v>0.77557100000000001</v>
      </c>
      <c r="U142" s="7">
        <v>0.79557009999999995</v>
      </c>
      <c r="V142" s="7">
        <v>0.74245240000000001</v>
      </c>
      <c r="W142" s="7">
        <v>0.72602580000000005</v>
      </c>
      <c r="X142" s="7">
        <v>0.80542720000000001</v>
      </c>
      <c r="Y142" s="7">
        <v>0.88568659999999999</v>
      </c>
      <c r="Z142" s="8">
        <v>0.94936679999999996</v>
      </c>
      <c r="AA142" s="8">
        <v>0.97590109999999997</v>
      </c>
      <c r="AB142" s="8">
        <v>1.475554</v>
      </c>
      <c r="AC142" s="8">
        <v>1.065504</v>
      </c>
      <c r="AD142" s="8">
        <v>1.0508710000000001</v>
      </c>
    </row>
    <row r="143" spans="1:30">
      <c r="A143" s="22">
        <v>403</v>
      </c>
      <c r="B143" s="22" t="s">
        <v>82</v>
      </c>
      <c r="C143" s="534">
        <v>2.2748810000000002</v>
      </c>
      <c r="D143" s="534">
        <v>2.3698779999999999</v>
      </c>
      <c r="E143" s="534">
        <v>2.4774980000000002</v>
      </c>
      <c r="F143" s="534">
        <v>2.60683</v>
      </c>
      <c r="G143" s="534">
        <v>2.639554</v>
      </c>
      <c r="H143" s="534">
        <v>2.8314650000000001</v>
      </c>
      <c r="I143" s="534">
        <v>2.957163</v>
      </c>
      <c r="J143" s="534">
        <v>3.1984539999999999</v>
      </c>
      <c r="K143" s="534">
        <v>2.6495359999999999</v>
      </c>
      <c r="L143" s="534">
        <v>2.344487</v>
      </c>
      <c r="M143" s="534">
        <v>2.3533140000000001</v>
      </c>
      <c r="N143" s="7">
        <v>2.262832</v>
      </c>
      <c r="O143" s="7">
        <v>2.1762100000000002</v>
      </c>
      <c r="P143" s="7">
        <v>2.1448809999999998</v>
      </c>
      <c r="Q143" s="7">
        <v>1.7838909999999999</v>
      </c>
      <c r="R143" s="7">
        <v>1.5735680000000001</v>
      </c>
      <c r="S143" s="7">
        <v>1.45757</v>
      </c>
      <c r="T143" s="7">
        <v>1.2720279999999999</v>
      </c>
      <c r="U143" s="7">
        <v>1.161802</v>
      </c>
      <c r="V143" s="7">
        <v>1.1355660000000001</v>
      </c>
      <c r="W143" s="7">
        <v>1.2966610000000001</v>
      </c>
      <c r="X143" s="7">
        <v>1.2754110000000001</v>
      </c>
      <c r="Y143" s="7">
        <v>1.4151549999999999</v>
      </c>
      <c r="Z143" s="8">
        <v>1.562338</v>
      </c>
      <c r="AA143" s="8">
        <v>1.777509</v>
      </c>
      <c r="AB143" s="8">
        <v>1.0320499999999999</v>
      </c>
      <c r="AC143" s="8">
        <v>0.89270629999999995</v>
      </c>
      <c r="AD143" s="8">
        <v>1.087278</v>
      </c>
    </row>
    <row r="144" spans="1:30">
      <c r="A144" s="22">
        <v>670</v>
      </c>
      <c r="B144" s="22" t="s">
        <v>141</v>
      </c>
      <c r="C144" s="534">
        <v>1.004724</v>
      </c>
      <c r="D144" s="534">
        <v>1.630744</v>
      </c>
      <c r="E144" s="534">
        <v>1.8216969999999999</v>
      </c>
      <c r="F144" s="534">
        <v>1.862082</v>
      </c>
      <c r="G144" s="534">
        <v>0.97777440000000004</v>
      </c>
      <c r="H144" s="534">
        <v>0.94709169999999998</v>
      </c>
      <c r="I144" s="534">
        <v>1.062883</v>
      </c>
      <c r="J144" s="534">
        <v>0.96172049999999998</v>
      </c>
      <c r="K144" s="534">
        <v>0.99060760000000003</v>
      </c>
      <c r="L144" s="534">
        <v>0.9082443</v>
      </c>
      <c r="M144" s="534">
        <v>0.85714069999999998</v>
      </c>
      <c r="N144" s="7">
        <v>0.93247829999999998</v>
      </c>
      <c r="O144" s="7">
        <v>0.89620390000000005</v>
      </c>
      <c r="P144" s="7">
        <v>0.92637809999999998</v>
      </c>
      <c r="Q144" s="7">
        <v>0.90082810000000002</v>
      </c>
      <c r="R144" s="7">
        <v>1.309574</v>
      </c>
      <c r="S144" s="7">
        <v>0.95497650000000001</v>
      </c>
      <c r="T144" s="7">
        <v>1.314012</v>
      </c>
      <c r="U144" s="7">
        <v>1.1119239999999999</v>
      </c>
      <c r="V144" s="7">
        <v>0.62334909999999999</v>
      </c>
      <c r="W144" s="7">
        <v>0.4957607</v>
      </c>
      <c r="X144" s="7">
        <v>0.52635790000000005</v>
      </c>
      <c r="Y144" s="7">
        <v>0.5249123</v>
      </c>
      <c r="Z144" s="8">
        <v>0.4647964</v>
      </c>
      <c r="AA144" s="8">
        <v>0.52489649999999999</v>
      </c>
      <c r="AB144" s="8">
        <v>0.3949783</v>
      </c>
      <c r="AC144" s="8">
        <v>0.3988797</v>
      </c>
      <c r="AD144" s="8">
        <v>1.6133360000000001</v>
      </c>
    </row>
    <row r="145" spans="1:30">
      <c r="A145" s="22">
        <v>433</v>
      </c>
      <c r="B145" s="22" t="s">
        <v>87</v>
      </c>
      <c r="C145" s="534">
        <v>1.6090089999999999</v>
      </c>
      <c r="D145" s="534">
        <v>1.437786</v>
      </c>
      <c r="E145" s="534">
        <v>1.336692</v>
      </c>
      <c r="F145" s="534">
        <v>1.3005100000000001</v>
      </c>
      <c r="G145" s="534">
        <v>1.3230029999999999</v>
      </c>
      <c r="H145" s="534">
        <v>1.100079</v>
      </c>
      <c r="I145" s="534">
        <v>1.0292829999999999</v>
      </c>
      <c r="J145" s="534">
        <v>1.021407</v>
      </c>
      <c r="K145" s="534">
        <v>1.070398</v>
      </c>
      <c r="L145" s="534">
        <v>1.0528189999999999</v>
      </c>
      <c r="M145" s="534">
        <v>1.0800110000000001</v>
      </c>
      <c r="N145" s="7">
        <v>1.183297</v>
      </c>
      <c r="O145" s="7">
        <v>1.155011</v>
      </c>
      <c r="P145" s="7">
        <v>1.031919</v>
      </c>
      <c r="Q145" s="7">
        <v>0.85887179999999996</v>
      </c>
      <c r="R145" s="7">
        <v>0.96972270000000005</v>
      </c>
      <c r="S145" s="7">
        <v>1.2067289999999999</v>
      </c>
      <c r="T145" s="7">
        <v>1.1437390000000001</v>
      </c>
      <c r="U145" s="7">
        <v>1.1570530000000001</v>
      </c>
      <c r="V145" s="7">
        <v>1.161923</v>
      </c>
      <c r="W145" s="7">
        <v>1.171</v>
      </c>
      <c r="X145" s="7">
        <v>1.1721349999999999</v>
      </c>
      <c r="Y145" s="7">
        <v>1.136198</v>
      </c>
      <c r="Z145" s="8">
        <v>1.2106980000000001</v>
      </c>
      <c r="AA145" s="8">
        <v>1.288314</v>
      </c>
      <c r="AB145" s="8">
        <v>1.269836</v>
      </c>
      <c r="AC145" s="8">
        <v>1.2448250000000001</v>
      </c>
      <c r="AD145" s="8">
        <v>1.30796</v>
      </c>
    </row>
    <row r="146" spans="1:30">
      <c r="A146" s="22">
        <v>345</v>
      </c>
      <c r="B146" s="22" t="s">
        <v>59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19"/>
      <c r="AA146" s="19"/>
      <c r="AB146" s="19"/>
      <c r="AC146" s="19"/>
      <c r="AD146" s="19"/>
    </row>
    <row r="147" spans="1:30">
      <c r="A147" s="22">
        <v>591</v>
      </c>
      <c r="B147" s="22" t="s">
        <v>127</v>
      </c>
      <c r="C147" s="534">
        <v>2.2533599999999998</v>
      </c>
      <c r="D147" s="534">
        <v>1.935298</v>
      </c>
      <c r="E147" s="534">
        <v>2.0224489999999999</v>
      </c>
      <c r="F147" s="534">
        <v>2.0081859999999998</v>
      </c>
      <c r="G147" s="534">
        <v>1.7102839999999999</v>
      </c>
      <c r="H147" s="534">
        <v>1.9239759999999999</v>
      </c>
      <c r="I147" s="534">
        <v>2.0977950000000001</v>
      </c>
      <c r="J147" s="534">
        <v>2.2304789999999999</v>
      </c>
      <c r="K147" s="534">
        <v>2.5274109999999999</v>
      </c>
      <c r="L147" s="534">
        <v>2.9875940000000001</v>
      </c>
      <c r="M147" s="534">
        <v>2.9897589999999998</v>
      </c>
      <c r="N147" s="7">
        <v>2.8703940000000001</v>
      </c>
      <c r="O147" s="7">
        <v>2.6234060000000001</v>
      </c>
      <c r="P147" s="7">
        <v>2.1912500000000001</v>
      </c>
      <c r="Q147" s="7">
        <v>2.1018759999999999</v>
      </c>
      <c r="R147" s="7">
        <v>1.805415</v>
      </c>
      <c r="S147" s="7">
        <v>1.9127209999999999</v>
      </c>
      <c r="T147" s="7">
        <v>1.7820419999999999</v>
      </c>
      <c r="U147" s="7">
        <v>1.822311</v>
      </c>
      <c r="V147" s="7">
        <v>1.7714449999999999</v>
      </c>
      <c r="W147" s="7">
        <v>1.4235800000000001</v>
      </c>
      <c r="X147" s="7">
        <v>1.249452</v>
      </c>
      <c r="Y147" s="7">
        <v>1.4087179999999999</v>
      </c>
      <c r="Z147" s="8">
        <v>1.5540259999999999</v>
      </c>
      <c r="AA147" s="8">
        <v>1.6973069999999999</v>
      </c>
      <c r="AB147" s="8">
        <v>1.714021</v>
      </c>
      <c r="AC147" s="8">
        <v>1.740583</v>
      </c>
      <c r="AD147" s="8">
        <v>1.9649650000000001</v>
      </c>
    </row>
    <row r="148" spans="1:30">
      <c r="A148" s="22">
        <v>451</v>
      </c>
      <c r="B148" s="22" t="s">
        <v>95</v>
      </c>
      <c r="C148" s="534">
        <v>0.89631590000000005</v>
      </c>
      <c r="D148" s="534">
        <v>0.88613229999999998</v>
      </c>
      <c r="E148" s="534">
        <v>0.70267299999999999</v>
      </c>
      <c r="F148" s="534">
        <v>0.38554870000000002</v>
      </c>
      <c r="G148" s="534">
        <v>0.53512249999999995</v>
      </c>
      <c r="H148" s="534">
        <v>0.46951929999999997</v>
      </c>
      <c r="I148" s="534">
        <v>0.25436819999999999</v>
      </c>
      <c r="J148" s="534">
        <v>0.2846861</v>
      </c>
      <c r="K148" s="534">
        <v>0.50478160000000005</v>
      </c>
      <c r="L148" s="534">
        <v>0.61063120000000004</v>
      </c>
      <c r="M148" s="534">
        <v>0.35994290000000001</v>
      </c>
      <c r="N148" s="7">
        <v>0.45119090000000001</v>
      </c>
      <c r="O148" s="7">
        <v>0.60194389999999998</v>
      </c>
      <c r="P148" s="7">
        <v>0.760544</v>
      </c>
      <c r="Q148" s="7">
        <v>0.75020880000000001</v>
      </c>
      <c r="R148" s="7">
        <v>0.56167449999999997</v>
      </c>
      <c r="S148" s="7">
        <v>0.46487050000000002</v>
      </c>
      <c r="T148" s="7">
        <v>0.62887899999999997</v>
      </c>
      <c r="U148" s="7">
        <v>0.59802160000000004</v>
      </c>
      <c r="V148" s="7">
        <v>0.60878600000000005</v>
      </c>
      <c r="W148" s="7">
        <v>1.028286</v>
      </c>
      <c r="X148" s="7">
        <v>0.95930340000000003</v>
      </c>
      <c r="Y148" s="7">
        <v>1.1098539999999999</v>
      </c>
      <c r="Z148" s="8">
        <v>1.2754300000000001</v>
      </c>
      <c r="AA148" s="8">
        <v>0.81434740000000005</v>
      </c>
      <c r="AB148" s="8">
        <v>0.74275979999999997</v>
      </c>
      <c r="AC148" s="8">
        <v>0.74330629999999998</v>
      </c>
      <c r="AD148" s="8">
        <v>0.77464409999999995</v>
      </c>
    </row>
    <row r="149" spans="1:30">
      <c r="A149" s="22">
        <v>830</v>
      </c>
      <c r="B149" s="22" t="s">
        <v>173</v>
      </c>
      <c r="C149" s="534">
        <v>0.70328429999999997</v>
      </c>
      <c r="D149" s="534">
        <v>0.82533219999999996</v>
      </c>
      <c r="E149" s="534">
        <v>0.90837100000000004</v>
      </c>
      <c r="F149" s="534">
        <v>0.90935770000000005</v>
      </c>
      <c r="G149" s="534">
        <v>0.8333429</v>
      </c>
      <c r="H149" s="534">
        <v>1.117737</v>
      </c>
      <c r="I149" s="534">
        <v>1.0515030000000001</v>
      </c>
      <c r="J149" s="534">
        <v>0.79067080000000001</v>
      </c>
      <c r="K149" s="534">
        <v>0.54820349999999995</v>
      </c>
      <c r="L149" s="534">
        <v>0.5644245</v>
      </c>
      <c r="M149" s="534">
        <v>0.61009729999999995</v>
      </c>
      <c r="N149" s="7">
        <v>0.65249380000000001</v>
      </c>
      <c r="O149" s="7">
        <v>0.76809329999999998</v>
      </c>
      <c r="P149" s="7">
        <v>0.84192460000000002</v>
      </c>
      <c r="Q149" s="7">
        <v>0.76050910000000005</v>
      </c>
      <c r="R149" s="7">
        <v>0.67014130000000005</v>
      </c>
      <c r="S149" s="7">
        <v>0.64962260000000005</v>
      </c>
      <c r="T149" s="7">
        <v>0.82933579999999996</v>
      </c>
      <c r="U149" s="7">
        <v>0.73835470000000003</v>
      </c>
      <c r="V149" s="7">
        <v>0.67414470000000004</v>
      </c>
      <c r="W149" s="7">
        <v>0.60003410000000001</v>
      </c>
      <c r="X149" s="7">
        <v>0.51680539999999997</v>
      </c>
      <c r="Y149" s="7">
        <v>0.40148220000000001</v>
      </c>
      <c r="Z149" s="8">
        <v>0.33680710000000003</v>
      </c>
      <c r="AA149" s="8">
        <v>0.29555110000000001</v>
      </c>
      <c r="AB149" s="8">
        <v>0.29325010000000001</v>
      </c>
      <c r="AC149" s="8">
        <v>0.2089029</v>
      </c>
      <c r="AD149" s="8">
        <v>0.26381549999999998</v>
      </c>
    </row>
    <row r="150" spans="1:30">
      <c r="A150" s="22">
        <v>317</v>
      </c>
      <c r="B150" s="22" t="s">
        <v>52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7"/>
      <c r="O150" s="7"/>
      <c r="P150" s="7"/>
      <c r="Q150" s="7"/>
      <c r="R150" s="7"/>
      <c r="S150" s="7">
        <v>0.525532</v>
      </c>
      <c r="T150" s="7">
        <v>0.32221280000000002</v>
      </c>
      <c r="U150" s="7">
        <v>0.1102665</v>
      </c>
      <c r="V150" s="7">
        <v>0.42974050000000003</v>
      </c>
      <c r="W150" s="7">
        <v>0.52519660000000001</v>
      </c>
      <c r="X150" s="7">
        <v>0.24961700000000001</v>
      </c>
      <c r="Y150" s="7">
        <v>0.8305707</v>
      </c>
      <c r="Z150" s="8">
        <v>0.97622969999999998</v>
      </c>
      <c r="AA150" s="8">
        <v>0.98556759999999999</v>
      </c>
      <c r="AB150" s="8">
        <v>0.82026049999999995</v>
      </c>
      <c r="AC150" s="8">
        <v>0.81359139999999996</v>
      </c>
      <c r="AD150" s="8">
        <v>0.82027240000000001</v>
      </c>
    </row>
    <row r="151" spans="1:30">
      <c r="A151" s="22">
        <v>349</v>
      </c>
      <c r="B151" s="22" t="s">
        <v>61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>
      <c r="A152" s="22">
        <v>940</v>
      </c>
      <c r="B152" s="22" t="s">
        <v>181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19"/>
      <c r="AA152" s="19"/>
      <c r="AB152" s="19"/>
      <c r="AC152" s="19"/>
      <c r="AD152" s="19"/>
    </row>
    <row r="153" spans="1:30">
      <c r="A153" s="22">
        <v>520</v>
      </c>
      <c r="B153" s="22" t="s">
        <v>110</v>
      </c>
      <c r="C153" s="534">
        <v>0.25141740000000001</v>
      </c>
      <c r="D153" s="534">
        <v>0.46890690000000002</v>
      </c>
      <c r="E153" s="534">
        <v>0.52585360000000003</v>
      </c>
      <c r="F153" s="534">
        <v>0.64069750000000003</v>
      </c>
      <c r="G153" s="534">
        <v>0.45736019999999999</v>
      </c>
      <c r="H153" s="534">
        <v>0.53324099999999997</v>
      </c>
      <c r="I153" s="534">
        <v>0.50359739999999997</v>
      </c>
      <c r="J153" s="534">
        <v>0.60124920000000004</v>
      </c>
      <c r="K153" s="534">
        <v>0.43116330000000003</v>
      </c>
      <c r="L153" s="534">
        <v>0.29672330000000002</v>
      </c>
      <c r="M153" s="534">
        <v>0.14215179999999999</v>
      </c>
      <c r="N153" s="7">
        <v>0.1256091</v>
      </c>
      <c r="O153" s="7">
        <v>0.13834489999999999</v>
      </c>
      <c r="P153" s="7">
        <v>0.28621160000000001</v>
      </c>
      <c r="Q153" s="7">
        <v>0.49222569999999999</v>
      </c>
      <c r="R153" s="7">
        <v>0.69373580000000001</v>
      </c>
      <c r="S153" s="7">
        <v>0.3162626</v>
      </c>
      <c r="T153" s="7">
        <v>0.31712319999999999</v>
      </c>
      <c r="U153" s="7">
        <v>0.32716889999999998</v>
      </c>
      <c r="V153" s="7">
        <v>0.3149633</v>
      </c>
      <c r="W153" s="7">
        <v>0.4083522</v>
      </c>
      <c r="X153" s="7">
        <v>0.39794449999999998</v>
      </c>
      <c r="Y153" s="7">
        <v>0.42836449999999998</v>
      </c>
      <c r="Z153" s="8">
        <v>0.4287089</v>
      </c>
      <c r="AA153" s="8">
        <v>0.28666560000000002</v>
      </c>
      <c r="AB153" s="8">
        <v>0.30453720000000001</v>
      </c>
      <c r="AC153" s="8">
        <v>0.30358760000000001</v>
      </c>
      <c r="AD153" s="8">
        <v>0.30091400000000001</v>
      </c>
    </row>
    <row r="154" spans="1:30">
      <c r="A154" s="22">
        <v>560</v>
      </c>
      <c r="B154" s="22" t="s">
        <v>119</v>
      </c>
      <c r="C154" s="534">
        <v>1.330824</v>
      </c>
      <c r="D154" s="534">
        <v>1.3581240000000001</v>
      </c>
      <c r="E154" s="534">
        <v>1.4806060000000001</v>
      </c>
      <c r="F154" s="534">
        <v>1.486326</v>
      </c>
      <c r="G154" s="534">
        <v>1.578174</v>
      </c>
      <c r="H154" s="534">
        <v>1.6438280000000001</v>
      </c>
      <c r="I154" s="534">
        <v>1.591626</v>
      </c>
      <c r="J154" s="534">
        <v>1.610258</v>
      </c>
      <c r="K154" s="534">
        <v>1.7036979999999999</v>
      </c>
      <c r="L154" s="534">
        <v>1.9499930000000001</v>
      </c>
      <c r="M154" s="534">
        <v>1.6234679999999999</v>
      </c>
      <c r="N154" s="7">
        <v>1.6827179999999999</v>
      </c>
      <c r="O154" s="7">
        <v>1.4814050000000001</v>
      </c>
      <c r="P154" s="7">
        <v>1.579547</v>
      </c>
      <c r="Q154" s="7">
        <v>1.5951869999999999</v>
      </c>
      <c r="R154" s="7">
        <v>1.6080639999999999</v>
      </c>
      <c r="S154" s="7">
        <v>1.627213</v>
      </c>
      <c r="T154" s="7">
        <v>1.7041170000000001</v>
      </c>
      <c r="U154" s="7">
        <v>1.736461</v>
      </c>
      <c r="V154" s="7">
        <v>1.65662</v>
      </c>
      <c r="W154" s="7">
        <v>1.6465369999999999</v>
      </c>
      <c r="X154" s="7">
        <v>1.698169</v>
      </c>
      <c r="Y154" s="7">
        <v>1.6089180000000001</v>
      </c>
      <c r="Z154" s="8">
        <v>1.689937</v>
      </c>
      <c r="AA154" s="8">
        <v>1.8070550000000001</v>
      </c>
      <c r="AB154" s="8">
        <v>1.962717</v>
      </c>
      <c r="AC154" s="8">
        <v>2.0703269999999998</v>
      </c>
      <c r="AD154" s="8">
        <v>1.8245309999999999</v>
      </c>
    </row>
    <row r="155" spans="1:30">
      <c r="A155" s="22">
        <v>230</v>
      </c>
      <c r="B155" s="22" t="s">
        <v>44</v>
      </c>
      <c r="C155" s="534">
        <v>0.59828349999999997</v>
      </c>
      <c r="D155" s="534">
        <v>0.60888500000000001</v>
      </c>
      <c r="E155" s="534">
        <v>0.56034799999999996</v>
      </c>
      <c r="F155" s="534">
        <v>0.63861129999999999</v>
      </c>
      <c r="G155" s="534">
        <v>0.64739420000000003</v>
      </c>
      <c r="H155" s="534">
        <v>0.74684189999999995</v>
      </c>
      <c r="I155" s="534">
        <v>0.86335989999999996</v>
      </c>
      <c r="J155" s="534">
        <v>0.93650719999999998</v>
      </c>
      <c r="K155" s="534">
        <v>0.93487920000000002</v>
      </c>
      <c r="L155" s="534">
        <v>1.014219</v>
      </c>
      <c r="M155" s="534">
        <v>0.96097469999999996</v>
      </c>
      <c r="N155" s="7">
        <v>0.95879029999999998</v>
      </c>
      <c r="O155" s="7">
        <v>0.96971640000000003</v>
      </c>
      <c r="P155" s="7">
        <v>0.8953295</v>
      </c>
      <c r="Q155" s="7">
        <v>0.89822020000000002</v>
      </c>
      <c r="R155" s="7">
        <v>0.93366870000000002</v>
      </c>
      <c r="S155" s="7">
        <v>0.94114589999999998</v>
      </c>
      <c r="T155" s="7">
        <v>0.88826159999999998</v>
      </c>
      <c r="U155" s="7">
        <v>0.84390940000000003</v>
      </c>
      <c r="V155" s="7">
        <v>0.86992190000000003</v>
      </c>
      <c r="W155" s="7">
        <v>0.85758820000000002</v>
      </c>
      <c r="X155" s="7">
        <v>0.85645170000000004</v>
      </c>
      <c r="Y155" s="7">
        <v>0.67198599999999997</v>
      </c>
      <c r="Z155" s="20">
        <v>0.62291149999999995</v>
      </c>
      <c r="AA155" s="20">
        <v>0.5792891</v>
      </c>
      <c r="AB155" s="20">
        <v>0.62328850000000002</v>
      </c>
      <c r="AC155" s="20">
        <v>0.65854029999999997</v>
      </c>
      <c r="AD155" s="20">
        <v>0.74623030000000001</v>
      </c>
    </row>
    <row r="156" spans="1:30">
      <c r="A156" s="22">
        <v>780</v>
      </c>
      <c r="B156" s="22" t="s">
        <v>165</v>
      </c>
      <c r="C156" s="534">
        <v>1.47641</v>
      </c>
      <c r="D156" s="534">
        <v>1.5008630000000001</v>
      </c>
      <c r="E156" s="534">
        <v>1.100538</v>
      </c>
      <c r="F156" s="534">
        <v>1.21899</v>
      </c>
      <c r="G156" s="534">
        <v>1.421381</v>
      </c>
      <c r="H156" s="534">
        <v>1.38802</v>
      </c>
      <c r="I156" s="534">
        <v>1.3005439999999999</v>
      </c>
      <c r="J156" s="534">
        <v>1.3106690000000001</v>
      </c>
      <c r="K156" s="534">
        <v>1.162269</v>
      </c>
      <c r="L156" s="534">
        <v>1.3486629999999999</v>
      </c>
      <c r="M156" s="534">
        <v>1.357799</v>
      </c>
      <c r="N156" s="7">
        <v>1.36128</v>
      </c>
      <c r="O156" s="7">
        <v>1.310997</v>
      </c>
      <c r="P156" s="7">
        <v>1.250359</v>
      </c>
      <c r="Q156" s="7">
        <v>1.1915709999999999</v>
      </c>
      <c r="R156" s="7">
        <v>1.2574719999999999</v>
      </c>
      <c r="S156" s="7">
        <v>1.15757</v>
      </c>
      <c r="T156" s="7">
        <v>1.078713</v>
      </c>
      <c r="U156" s="7">
        <v>0.96826599999999996</v>
      </c>
      <c r="V156" s="7">
        <v>1.002051</v>
      </c>
      <c r="W156" s="7">
        <v>0.94923020000000002</v>
      </c>
      <c r="X156" s="7">
        <v>0.96281190000000005</v>
      </c>
      <c r="Y156" s="7">
        <v>0.8926461</v>
      </c>
      <c r="Z156" s="8">
        <v>0.84106619999999999</v>
      </c>
      <c r="AA156" s="8">
        <v>0.88563559999999997</v>
      </c>
      <c r="AB156" s="8">
        <v>0.93354269999999995</v>
      </c>
      <c r="AC156" s="8">
        <v>1.003058</v>
      </c>
      <c r="AD156" s="8">
        <v>0.87084510000000004</v>
      </c>
    </row>
    <row r="157" spans="1:30">
      <c r="A157" s="22">
        <v>60</v>
      </c>
      <c r="B157" s="22" t="s">
        <v>14</v>
      </c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19"/>
      <c r="AA157" s="19"/>
      <c r="AB157" s="19"/>
      <c r="AC157" s="19"/>
      <c r="AD157" s="19"/>
    </row>
    <row r="158" spans="1:30">
      <c r="A158" s="22">
        <v>56</v>
      </c>
      <c r="B158" s="22" t="s">
        <v>11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19"/>
      <c r="AA158" s="19"/>
      <c r="AB158" s="19"/>
      <c r="AC158" s="19"/>
      <c r="AD158" s="19"/>
    </row>
    <row r="159" spans="1:30">
      <c r="A159" s="22">
        <v>57</v>
      </c>
      <c r="B159" s="22" t="s">
        <v>12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>
      <c r="A160" s="22">
        <v>625</v>
      </c>
      <c r="B160" s="22" t="s">
        <v>132</v>
      </c>
      <c r="C160" s="534">
        <v>0.84123999999999999</v>
      </c>
      <c r="D160" s="534">
        <v>0.83428729999999995</v>
      </c>
      <c r="E160" s="534">
        <v>0.86995270000000002</v>
      </c>
      <c r="F160" s="534">
        <v>0.98411059999999995</v>
      </c>
      <c r="G160" s="534">
        <v>0.86881359999999996</v>
      </c>
      <c r="H160" s="534">
        <v>0.92196889999999998</v>
      </c>
      <c r="I160" s="534">
        <v>0.88350220000000002</v>
      </c>
      <c r="J160" s="534">
        <v>1.3185979999999999</v>
      </c>
      <c r="K160" s="534">
        <v>1.529469</v>
      </c>
      <c r="L160" s="534">
        <v>1.4846250000000001</v>
      </c>
      <c r="M160" s="534">
        <v>1.2882420000000001</v>
      </c>
      <c r="N160" s="7">
        <v>0.73085290000000003</v>
      </c>
      <c r="O160" s="7">
        <v>0.68111750000000004</v>
      </c>
      <c r="P160" s="7">
        <v>0.67584880000000003</v>
      </c>
      <c r="Q160" s="7">
        <v>0.55366190000000004</v>
      </c>
      <c r="R160" s="7">
        <v>0.33239200000000002</v>
      </c>
      <c r="S160" s="7">
        <v>0.3920419</v>
      </c>
      <c r="T160" s="7">
        <v>0.40563640000000001</v>
      </c>
      <c r="U160" s="7">
        <v>0.42107679999999997</v>
      </c>
      <c r="V160" s="7">
        <v>0.4309134</v>
      </c>
      <c r="W160" s="7">
        <v>0.67299010000000004</v>
      </c>
      <c r="X160" s="7">
        <v>0.49430689999999999</v>
      </c>
      <c r="Y160" s="7">
        <v>0.75838839999999996</v>
      </c>
      <c r="Z160" s="8">
        <v>0.68504779999999998</v>
      </c>
      <c r="AA160" s="8">
        <v>0.2125254</v>
      </c>
      <c r="AB160" s="8">
        <v>0.20255190000000001</v>
      </c>
      <c r="AC160" s="8">
        <v>0.15746019999999999</v>
      </c>
      <c r="AD160" s="8">
        <v>6.4093600000000001E-2</v>
      </c>
    </row>
    <row r="161" spans="1:30">
      <c r="A161" s="22">
        <v>115</v>
      </c>
      <c r="B161" s="22" t="s">
        <v>26</v>
      </c>
      <c r="C161" s="534">
        <v>1.874071</v>
      </c>
      <c r="D161" s="534">
        <v>1.860795</v>
      </c>
      <c r="E161" s="534">
        <v>1.944024</v>
      </c>
      <c r="F161" s="534">
        <v>1.3369899999999999</v>
      </c>
      <c r="G161" s="534">
        <v>1.4528289999999999</v>
      </c>
      <c r="H161" s="534">
        <v>1.529571</v>
      </c>
      <c r="I161" s="534">
        <v>1.371802</v>
      </c>
      <c r="J161" s="534">
        <v>1.3660939999999999</v>
      </c>
      <c r="K161" s="534">
        <v>1.3505499999999999</v>
      </c>
      <c r="L161" s="534">
        <v>1.269943</v>
      </c>
      <c r="M161" s="534">
        <v>1.3127420000000001</v>
      </c>
      <c r="N161" s="7">
        <v>1.3766750000000001</v>
      </c>
      <c r="O161" s="7">
        <v>1.391629</v>
      </c>
      <c r="P161" s="7">
        <v>0.78881769999999996</v>
      </c>
      <c r="Q161" s="7">
        <v>0.86908859999999999</v>
      </c>
      <c r="R161" s="7">
        <v>1.146852</v>
      </c>
      <c r="S161" s="7">
        <v>1.0433490000000001</v>
      </c>
      <c r="T161" s="7">
        <v>0.79154219999999997</v>
      </c>
      <c r="U161" s="7">
        <v>0.73831480000000005</v>
      </c>
      <c r="V161" s="7">
        <v>0.79434539999999998</v>
      </c>
      <c r="W161" s="7">
        <v>0.76517900000000005</v>
      </c>
      <c r="X161" s="7">
        <v>0.6941773</v>
      </c>
      <c r="Y161" s="7">
        <v>0.82012390000000002</v>
      </c>
      <c r="Z161" s="8">
        <v>0.80034439999999996</v>
      </c>
      <c r="AA161" s="8">
        <v>0.73657099999999998</v>
      </c>
      <c r="AB161" s="8">
        <v>0.8198183</v>
      </c>
      <c r="AC161" s="8">
        <v>0.99081269999999999</v>
      </c>
      <c r="AD161" s="8">
        <v>0.93852820000000003</v>
      </c>
    </row>
    <row r="162" spans="1:30">
      <c r="A162" s="22">
        <v>572</v>
      </c>
      <c r="B162" s="22" t="s">
        <v>123</v>
      </c>
      <c r="C162" s="534">
        <v>0.45412950000000002</v>
      </c>
      <c r="D162" s="534">
        <v>0.345638</v>
      </c>
      <c r="E162" s="534">
        <v>0.51636870000000001</v>
      </c>
      <c r="F162" s="534">
        <v>0.48029640000000001</v>
      </c>
      <c r="G162" s="534">
        <v>0.53221940000000001</v>
      </c>
      <c r="H162" s="534">
        <v>0.66456369999999998</v>
      </c>
      <c r="I162" s="534">
        <v>0.71673419999999999</v>
      </c>
      <c r="J162" s="534">
        <v>0.82494000000000001</v>
      </c>
      <c r="K162" s="534">
        <v>0.74979150000000006</v>
      </c>
      <c r="L162" s="534">
        <v>0.82701250000000004</v>
      </c>
      <c r="M162" s="534">
        <v>0.94958929999999997</v>
      </c>
      <c r="N162" s="7">
        <v>1.032797</v>
      </c>
      <c r="O162" s="7">
        <v>1.136028</v>
      </c>
      <c r="P162" s="7">
        <v>1.230551</v>
      </c>
      <c r="Q162" s="7">
        <v>1.3416220000000001</v>
      </c>
      <c r="R162" s="7">
        <v>1.4303790000000001</v>
      </c>
      <c r="S162" s="7">
        <v>1.4464129999999999</v>
      </c>
      <c r="T162" s="7">
        <v>1.456987</v>
      </c>
      <c r="U162" s="7">
        <v>1.4178630000000001</v>
      </c>
      <c r="V162" s="7">
        <v>1.3943570000000001</v>
      </c>
      <c r="W162" s="7">
        <v>1.1311070000000001</v>
      </c>
      <c r="X162" s="7">
        <v>1.0538240000000001</v>
      </c>
      <c r="Y162" s="7">
        <v>0.994838</v>
      </c>
      <c r="Z162" s="8">
        <v>1.0688310000000001</v>
      </c>
      <c r="AA162" s="8">
        <v>0.91864310000000005</v>
      </c>
      <c r="AB162" s="8">
        <v>0.95182650000000002</v>
      </c>
      <c r="AC162" s="8">
        <v>0.91448910000000005</v>
      </c>
      <c r="AD162" s="8">
        <v>0.82044399999999995</v>
      </c>
    </row>
    <row r="163" spans="1:30">
      <c r="A163" s="22">
        <v>380</v>
      </c>
      <c r="B163" s="22" t="s">
        <v>77</v>
      </c>
      <c r="C163" s="534">
        <v>1.049517</v>
      </c>
      <c r="D163" s="534">
        <v>1.068378</v>
      </c>
      <c r="E163" s="534">
        <v>1.034411</v>
      </c>
      <c r="F163" s="534">
        <v>1.050405</v>
      </c>
      <c r="G163" s="534">
        <v>1.1056649999999999</v>
      </c>
      <c r="H163" s="534">
        <v>1.2691269999999999</v>
      </c>
      <c r="I163" s="534">
        <v>1.207211</v>
      </c>
      <c r="J163" s="534">
        <v>1.3723270000000001</v>
      </c>
      <c r="K163" s="534">
        <v>1.3807910000000001</v>
      </c>
      <c r="L163" s="534">
        <v>1.3622399999999999</v>
      </c>
      <c r="M163" s="534">
        <v>1.3944970000000001</v>
      </c>
      <c r="N163" s="7">
        <v>1.278043</v>
      </c>
      <c r="O163" s="7">
        <v>1.1144240000000001</v>
      </c>
      <c r="P163" s="7">
        <v>0.99791479999999999</v>
      </c>
      <c r="Q163" s="7">
        <v>0.97121000000000002</v>
      </c>
      <c r="R163" s="7">
        <v>1.0587150000000001</v>
      </c>
      <c r="S163" s="7">
        <v>1.0977220000000001</v>
      </c>
      <c r="T163" s="7">
        <v>1.0411900000000001</v>
      </c>
      <c r="U163" s="7">
        <v>1.1697900000000001</v>
      </c>
      <c r="V163" s="7">
        <v>1.1923950000000001</v>
      </c>
      <c r="W163" s="7">
        <v>1.0104470000000001</v>
      </c>
      <c r="X163" s="7">
        <v>1.137116</v>
      </c>
      <c r="Y163" s="7">
        <v>0.87067039999999996</v>
      </c>
      <c r="Z163" s="8">
        <v>0.9305196</v>
      </c>
      <c r="AA163" s="8">
        <v>0.99173</v>
      </c>
      <c r="AB163" s="8">
        <v>1.0308539999999999</v>
      </c>
      <c r="AC163" s="8">
        <v>1.0471809999999999</v>
      </c>
      <c r="AD163" s="8">
        <v>1.034624</v>
      </c>
    </row>
    <row r="164" spans="1:30">
      <c r="A164" s="22">
        <v>225</v>
      </c>
      <c r="B164" s="22" t="s">
        <v>43</v>
      </c>
      <c r="C164" s="534">
        <v>0.42840650000000002</v>
      </c>
      <c r="D164" s="534">
        <v>0.45812199999999997</v>
      </c>
      <c r="E164" s="534">
        <v>0.46013270000000001</v>
      </c>
      <c r="F164" s="534">
        <v>0.47721079999999999</v>
      </c>
      <c r="G164" s="534">
        <v>0.46482980000000002</v>
      </c>
      <c r="H164" s="534">
        <v>0.1890136</v>
      </c>
      <c r="I164" s="534">
        <v>0.41835050000000001</v>
      </c>
      <c r="J164" s="534">
        <v>0.51442929999999998</v>
      </c>
      <c r="K164" s="534">
        <v>0.48419849999999998</v>
      </c>
      <c r="L164" s="534">
        <v>0.54642400000000002</v>
      </c>
      <c r="M164" s="534">
        <v>0.63054960000000004</v>
      </c>
      <c r="N164" s="7">
        <v>0.49725809999999998</v>
      </c>
      <c r="O164" s="7">
        <v>0.50303319999999996</v>
      </c>
      <c r="P164" s="7">
        <v>0.46091769999999999</v>
      </c>
      <c r="Q164" s="7">
        <v>0.49279689999999998</v>
      </c>
      <c r="R164" s="7">
        <v>0.49759930000000002</v>
      </c>
      <c r="S164" s="7">
        <v>0.52276409999999995</v>
      </c>
      <c r="T164" s="7">
        <v>0.51393750000000005</v>
      </c>
      <c r="U164" s="7">
        <v>0.57468280000000005</v>
      </c>
      <c r="V164" s="7">
        <v>0.54526450000000004</v>
      </c>
      <c r="W164" s="7">
        <v>0.62266809999999995</v>
      </c>
      <c r="X164" s="7">
        <v>0.5189821</v>
      </c>
      <c r="Y164" s="7">
        <v>0.55381919999999996</v>
      </c>
      <c r="Z164" s="8">
        <v>0.50720270000000001</v>
      </c>
      <c r="AA164" s="8">
        <v>0.50933709999999999</v>
      </c>
      <c r="AB164" s="8">
        <v>0.53835219999999995</v>
      </c>
      <c r="AC164" s="8">
        <v>0.51692530000000003</v>
      </c>
      <c r="AD164" s="8">
        <v>0.52224139999999997</v>
      </c>
    </row>
    <row r="165" spans="1:30">
      <c r="A165" s="22">
        <v>652</v>
      </c>
      <c r="B165" s="22" t="s">
        <v>137</v>
      </c>
      <c r="C165" s="534">
        <v>0.4918109</v>
      </c>
      <c r="D165" s="534">
        <v>0.42827209999999999</v>
      </c>
      <c r="E165" s="534">
        <v>0.47566330000000001</v>
      </c>
      <c r="F165" s="534">
        <v>0.65883230000000004</v>
      </c>
      <c r="G165" s="534">
        <v>0.69152519999999995</v>
      </c>
      <c r="H165" s="534">
        <v>0.78351029999999999</v>
      </c>
      <c r="I165" s="534">
        <v>0.85464229999999997</v>
      </c>
      <c r="J165" s="534">
        <v>1.0333190000000001</v>
      </c>
      <c r="K165" s="534">
        <v>1.0010380000000001</v>
      </c>
      <c r="L165" s="534">
        <v>1.1284419999999999</v>
      </c>
      <c r="M165" s="534">
        <v>1.103008</v>
      </c>
      <c r="N165" s="7">
        <v>1.1922159999999999</v>
      </c>
      <c r="O165" s="7">
        <v>1.293067</v>
      </c>
      <c r="P165" s="7">
        <v>1.1593389999999999</v>
      </c>
      <c r="Q165" s="7">
        <v>1.152817</v>
      </c>
      <c r="R165" s="7">
        <v>1.2415670000000001</v>
      </c>
      <c r="S165" s="7">
        <v>0.98937310000000001</v>
      </c>
      <c r="T165" s="7">
        <v>0.94523550000000001</v>
      </c>
      <c r="U165" s="7">
        <v>0.92473799999999995</v>
      </c>
      <c r="V165" s="7">
        <v>0.89353819999999995</v>
      </c>
      <c r="W165" s="7"/>
      <c r="X165" s="7">
        <v>0.92733840000000001</v>
      </c>
      <c r="Y165" s="7">
        <v>0.89490099999999995</v>
      </c>
      <c r="Z165" s="8">
        <v>0.95338710000000004</v>
      </c>
      <c r="AA165" s="8">
        <v>0.90257030000000005</v>
      </c>
      <c r="AB165" s="8">
        <v>0.82205110000000003</v>
      </c>
      <c r="AC165" s="8">
        <v>0.77606869999999994</v>
      </c>
      <c r="AD165" s="8">
        <v>0.84013959999999999</v>
      </c>
    </row>
    <row r="166" spans="1:30">
      <c r="A166" s="22">
        <v>713</v>
      </c>
      <c r="B166" s="22" t="s">
        <v>156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19"/>
      <c r="AA166" s="19"/>
      <c r="AB166" s="19"/>
      <c r="AC166" s="19"/>
      <c r="AD166" s="19"/>
    </row>
    <row r="167" spans="1:30">
      <c r="A167" s="22">
        <v>702</v>
      </c>
      <c r="B167" s="22" t="s">
        <v>150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7"/>
      <c r="O167" s="7"/>
      <c r="P167" s="7"/>
      <c r="Q167" s="7"/>
      <c r="R167" s="7"/>
      <c r="S167" s="7">
        <v>0.61795929999999999</v>
      </c>
      <c r="T167" s="7">
        <v>0.58890180000000003</v>
      </c>
      <c r="U167" s="7">
        <v>0.60934710000000003</v>
      </c>
      <c r="V167" s="7">
        <v>0.65913500000000003</v>
      </c>
      <c r="W167" s="7">
        <v>0.49226740000000002</v>
      </c>
      <c r="X167" s="7">
        <v>0.61540890000000004</v>
      </c>
      <c r="Y167" s="7">
        <v>0.71383739999999996</v>
      </c>
      <c r="Z167" s="8">
        <v>0.56169650000000004</v>
      </c>
      <c r="AA167" s="8">
        <v>0.58137039999999995</v>
      </c>
      <c r="AB167" s="8">
        <v>0.56696089999999999</v>
      </c>
      <c r="AC167" s="8">
        <v>0.58381329999999998</v>
      </c>
      <c r="AD167" s="8">
        <v>0.55502149999999995</v>
      </c>
    </row>
    <row r="168" spans="1:30">
      <c r="A168" s="22">
        <v>510</v>
      </c>
      <c r="B168" s="22" t="s">
        <v>107</v>
      </c>
      <c r="C168" s="534">
        <v>1.2825470000000001</v>
      </c>
      <c r="D168" s="534">
        <v>1.311329</v>
      </c>
      <c r="E168" s="534">
        <v>1.328457</v>
      </c>
      <c r="F168" s="534">
        <v>1.379022</v>
      </c>
      <c r="G168" s="534">
        <v>1.5214859999999999</v>
      </c>
      <c r="H168" s="534">
        <v>1.2674080000000001</v>
      </c>
      <c r="I168" s="534">
        <v>1.4273769999999999</v>
      </c>
      <c r="J168" s="534">
        <v>1.6062160000000001</v>
      </c>
      <c r="K168" s="534">
        <v>1.3347720000000001</v>
      </c>
      <c r="L168" s="534">
        <v>1.172166</v>
      </c>
      <c r="M168" s="534">
        <v>0.84528159999999997</v>
      </c>
      <c r="N168" s="7">
        <v>1.02102</v>
      </c>
      <c r="O168" s="7">
        <v>0.73096000000000005</v>
      </c>
      <c r="P168" s="7">
        <v>0.82605600000000001</v>
      </c>
      <c r="Q168" s="7">
        <v>0.81268819999999997</v>
      </c>
      <c r="R168" s="7">
        <v>0.78223399999999998</v>
      </c>
      <c r="S168" s="7">
        <v>0.91193100000000005</v>
      </c>
      <c r="T168" s="7">
        <v>0.90012890000000001</v>
      </c>
      <c r="U168" s="7">
        <v>0.82083240000000002</v>
      </c>
      <c r="V168" s="7">
        <v>0.80106480000000002</v>
      </c>
      <c r="W168" s="7">
        <v>0.89769299999999996</v>
      </c>
      <c r="X168" s="7">
        <v>1.002108</v>
      </c>
      <c r="Y168" s="7">
        <v>0.91446419999999995</v>
      </c>
      <c r="Z168" s="20">
        <v>0.99383220000000005</v>
      </c>
      <c r="AA168" s="20">
        <v>0.93102090000000004</v>
      </c>
      <c r="AB168" s="20">
        <v>0.92684889999999998</v>
      </c>
      <c r="AC168" s="20">
        <v>0.94219140000000001</v>
      </c>
      <c r="AD168" s="20">
        <v>0.92437579999999997</v>
      </c>
    </row>
    <row r="169" spans="1:30">
      <c r="A169" s="22">
        <v>800</v>
      </c>
      <c r="B169" s="22" t="s">
        <v>168</v>
      </c>
      <c r="C169" s="534">
        <v>0.9610417</v>
      </c>
      <c r="D169" s="534">
        <v>0.98889260000000001</v>
      </c>
      <c r="E169" s="534">
        <v>0.92316319999999996</v>
      </c>
      <c r="F169" s="534">
        <v>1.047674</v>
      </c>
      <c r="G169" s="534">
        <v>1.0304</v>
      </c>
      <c r="H169" s="534">
        <v>0.98343049999999999</v>
      </c>
      <c r="I169" s="534">
        <v>0.96750409999999998</v>
      </c>
      <c r="J169" s="534">
        <v>0.95267970000000002</v>
      </c>
      <c r="K169" s="534">
        <v>1.017884</v>
      </c>
      <c r="L169" s="534">
        <v>1.0625340000000001</v>
      </c>
      <c r="M169" s="534">
        <v>1.1693210000000001</v>
      </c>
      <c r="N169" s="7">
        <v>1.197659</v>
      </c>
      <c r="O169" s="7">
        <v>1.083259</v>
      </c>
      <c r="P169" s="7">
        <v>1.0739399999999999</v>
      </c>
      <c r="Q169" s="7">
        <v>1.100125</v>
      </c>
      <c r="R169" s="7">
        <v>1.100516</v>
      </c>
      <c r="S169" s="7">
        <v>1.1189690000000001</v>
      </c>
      <c r="T169" s="7">
        <v>1.0044949999999999</v>
      </c>
      <c r="U169" s="7">
        <v>0.80946700000000005</v>
      </c>
      <c r="V169" s="7">
        <v>0.75782530000000004</v>
      </c>
      <c r="W169" s="7">
        <v>0.73207710000000004</v>
      </c>
      <c r="X169" s="7">
        <v>0.83139379999999996</v>
      </c>
      <c r="Y169" s="7">
        <v>0.86679969999999995</v>
      </c>
      <c r="Z169" s="20">
        <v>0.99789019999999995</v>
      </c>
      <c r="AA169" s="20">
        <v>0.97609599999999996</v>
      </c>
      <c r="AB169" s="20">
        <v>1.041004</v>
      </c>
      <c r="AC169" s="20">
        <v>0.98523689999999997</v>
      </c>
      <c r="AD169" s="20">
        <v>1.068249</v>
      </c>
    </row>
    <row r="170" spans="1:30">
      <c r="A170" s="22">
        <v>860</v>
      </c>
      <c r="B170" s="22" t="s">
        <v>197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>
      <c r="A171" s="22">
        <v>461</v>
      </c>
      <c r="B171" s="22" t="s">
        <v>97</v>
      </c>
      <c r="C171" s="534">
        <v>0.5798932</v>
      </c>
      <c r="D171" s="534">
        <v>0.49465120000000001</v>
      </c>
      <c r="E171" s="534">
        <v>0.40442280000000003</v>
      </c>
      <c r="F171" s="534">
        <v>0.35732700000000001</v>
      </c>
      <c r="G171" s="534">
        <v>0.29792920000000001</v>
      </c>
      <c r="H171" s="534">
        <v>0.35094599999999998</v>
      </c>
      <c r="I171" s="534">
        <v>0.22049450000000001</v>
      </c>
      <c r="J171" s="534">
        <v>0.26587</v>
      </c>
      <c r="K171" s="534">
        <v>0.90094160000000001</v>
      </c>
      <c r="L171" s="534">
        <v>1.000097</v>
      </c>
      <c r="M171" s="534">
        <v>1.04861</v>
      </c>
      <c r="N171" s="7">
        <v>0.72765670000000005</v>
      </c>
      <c r="O171" s="7">
        <v>0.69541660000000005</v>
      </c>
      <c r="P171" s="7">
        <v>0.64245149999999995</v>
      </c>
      <c r="Q171" s="7">
        <v>0.5529115</v>
      </c>
      <c r="R171" s="7">
        <v>0.69132249999999995</v>
      </c>
      <c r="S171" s="7">
        <v>0.57508389999999998</v>
      </c>
      <c r="T171" s="7">
        <v>0.63572839999999997</v>
      </c>
      <c r="U171" s="7">
        <v>0.6098924</v>
      </c>
      <c r="V171" s="7">
        <v>0.8990667</v>
      </c>
      <c r="W171" s="7">
        <v>0.77599110000000004</v>
      </c>
      <c r="X171" s="7">
        <v>0.76521609999999995</v>
      </c>
      <c r="Y171" s="7">
        <v>0.6329555</v>
      </c>
      <c r="Z171" s="8">
        <v>0.68619819999999998</v>
      </c>
      <c r="AA171" s="8">
        <v>0.79522020000000004</v>
      </c>
      <c r="AB171" s="8">
        <v>0.69001500000000004</v>
      </c>
      <c r="AC171" s="8">
        <v>0.91038839999999999</v>
      </c>
      <c r="AD171" s="8">
        <v>0.89876789999999995</v>
      </c>
    </row>
    <row r="172" spans="1:30">
      <c r="A172" s="22">
        <v>955</v>
      </c>
      <c r="B172" s="22" t="s">
        <v>185</v>
      </c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19"/>
      <c r="AA172" s="19"/>
      <c r="AB172" s="19"/>
      <c r="AC172" s="19"/>
      <c r="AD172" s="19"/>
    </row>
    <row r="173" spans="1:30">
      <c r="A173" s="22">
        <v>52</v>
      </c>
      <c r="B173" s="22" t="s">
        <v>7</v>
      </c>
      <c r="C173" s="534">
        <v>1.933057</v>
      </c>
      <c r="D173" s="534">
        <v>2.0560269999999998</v>
      </c>
      <c r="E173" s="534">
        <v>2.257282</v>
      </c>
      <c r="F173" s="534">
        <v>2.207805</v>
      </c>
      <c r="G173" s="534">
        <v>1.9480710000000001</v>
      </c>
      <c r="H173" s="534">
        <v>1.9254599999999999</v>
      </c>
      <c r="I173" s="534">
        <v>1.535507</v>
      </c>
      <c r="J173" s="534">
        <v>1.712661</v>
      </c>
      <c r="K173" s="534">
        <v>1.4755210000000001</v>
      </c>
      <c r="L173" s="534">
        <v>1.3472360000000001</v>
      </c>
      <c r="M173" s="534">
        <v>1.148282</v>
      </c>
      <c r="N173" s="7">
        <v>1.1720060000000001</v>
      </c>
      <c r="O173" s="7">
        <v>1.2311749999999999</v>
      </c>
      <c r="P173" s="7">
        <v>1.3775930000000001</v>
      </c>
      <c r="Q173" s="7">
        <v>1.205106</v>
      </c>
      <c r="R173" s="7">
        <v>1.249045</v>
      </c>
      <c r="S173" s="7">
        <v>1.391853</v>
      </c>
      <c r="T173" s="7">
        <v>1.2306379999999999</v>
      </c>
      <c r="U173" s="7">
        <v>1.3429709999999999</v>
      </c>
      <c r="V173" s="7">
        <v>1.2841720000000001</v>
      </c>
      <c r="W173" s="7">
        <v>1.1578010000000001</v>
      </c>
      <c r="X173" s="7">
        <v>1.232289</v>
      </c>
      <c r="Y173" s="7">
        <v>1.2151110000000001</v>
      </c>
      <c r="Z173" s="8">
        <v>1.155567</v>
      </c>
      <c r="AA173" s="8">
        <v>1.1923090000000001</v>
      </c>
      <c r="AB173" s="8">
        <v>1.4195279999999999</v>
      </c>
      <c r="AC173" s="8">
        <v>1.3882270000000001</v>
      </c>
      <c r="AD173" s="8">
        <v>1.21374</v>
      </c>
    </row>
    <row r="174" spans="1:30">
      <c r="A174" s="22">
        <v>616</v>
      </c>
      <c r="B174" s="22" t="s">
        <v>130</v>
      </c>
      <c r="C174" s="534">
        <v>1.5934170000000001</v>
      </c>
      <c r="D174" s="534">
        <v>1.51616</v>
      </c>
      <c r="E174" s="534">
        <v>1.6517790000000001</v>
      </c>
      <c r="F174" s="534">
        <v>1.690747</v>
      </c>
      <c r="G174" s="534">
        <v>1.793099</v>
      </c>
      <c r="H174" s="534">
        <v>1.546062</v>
      </c>
      <c r="I174" s="534">
        <v>1.5001850000000001</v>
      </c>
      <c r="J174" s="534">
        <v>1.336894</v>
      </c>
      <c r="K174" s="534">
        <v>1.330667</v>
      </c>
      <c r="L174" s="534">
        <v>1.36449</v>
      </c>
      <c r="M174" s="534">
        <v>1.350724</v>
      </c>
      <c r="N174" s="7">
        <v>1.4012009999999999</v>
      </c>
      <c r="O174" s="7">
        <v>1.4146190000000001</v>
      </c>
      <c r="P174" s="7">
        <v>1.4404319999999999</v>
      </c>
      <c r="Q174" s="7">
        <v>1.3876109999999999</v>
      </c>
      <c r="R174" s="7">
        <v>1.3649560000000001</v>
      </c>
      <c r="S174" s="7">
        <v>1.335364</v>
      </c>
      <c r="T174" s="7">
        <v>1.2308479999999999</v>
      </c>
      <c r="U174" s="7">
        <v>1.2736540000000001</v>
      </c>
      <c r="V174" s="7">
        <v>1.4111910000000001</v>
      </c>
      <c r="W174" s="7">
        <v>1.3818980000000001</v>
      </c>
      <c r="X174" s="7">
        <v>1.35883</v>
      </c>
      <c r="Y174" s="7">
        <v>1.379084</v>
      </c>
      <c r="Z174" s="20">
        <v>1.2967839999999999</v>
      </c>
      <c r="AA174" s="20">
        <v>1.2994220000000001</v>
      </c>
      <c r="AB174" s="20">
        <v>1.276707</v>
      </c>
      <c r="AC174" s="20">
        <v>1.1805380000000001</v>
      </c>
      <c r="AD174" s="20">
        <v>1.196213</v>
      </c>
    </row>
    <row r="175" spans="1:30">
      <c r="A175" s="22">
        <v>640</v>
      </c>
      <c r="B175" s="22" t="s">
        <v>134</v>
      </c>
      <c r="C175" s="534">
        <v>0.64818940000000003</v>
      </c>
      <c r="D175" s="534">
        <v>0.6736356</v>
      </c>
      <c r="E175" s="534">
        <v>0.50550039999999996</v>
      </c>
      <c r="F175" s="534">
        <v>0.69935000000000003</v>
      </c>
      <c r="G175" s="534">
        <v>0.66338960000000002</v>
      </c>
      <c r="H175" s="534">
        <v>0.45989609999999997</v>
      </c>
      <c r="I175" s="534">
        <v>0.61513189999999995</v>
      </c>
      <c r="J175" s="534">
        <v>0.60085849999999996</v>
      </c>
      <c r="K175" s="534">
        <v>0.54201569999999999</v>
      </c>
      <c r="L175" s="534">
        <v>0.56052089999999999</v>
      </c>
      <c r="M175" s="534">
        <v>0.60090909999999997</v>
      </c>
      <c r="N175" s="7">
        <v>0.69459190000000004</v>
      </c>
      <c r="O175" s="7">
        <v>0.65674650000000001</v>
      </c>
      <c r="P175" s="7">
        <v>0.64588829999999997</v>
      </c>
      <c r="Q175" s="7">
        <v>0.74150039999999995</v>
      </c>
      <c r="R175" s="7">
        <v>0.68373649999999997</v>
      </c>
      <c r="S175" s="7">
        <v>0.70622189999999996</v>
      </c>
      <c r="T175" s="7">
        <v>0.81890229999999997</v>
      </c>
      <c r="U175" s="7">
        <v>0.87413419999999997</v>
      </c>
      <c r="V175" s="7">
        <v>0.88448139999999997</v>
      </c>
      <c r="W175" s="7">
        <v>1.0761130000000001</v>
      </c>
      <c r="X175" s="7">
        <v>1.0580480000000001</v>
      </c>
      <c r="Y175" s="7">
        <v>1.1368640000000001</v>
      </c>
      <c r="Z175" s="8">
        <v>1.076454</v>
      </c>
      <c r="AA175" s="8">
        <v>1.080111</v>
      </c>
      <c r="AB175" s="8">
        <v>0.98544620000000005</v>
      </c>
      <c r="AC175" s="8">
        <v>0.91838169999999997</v>
      </c>
      <c r="AD175" s="8">
        <v>0.9552988</v>
      </c>
    </row>
    <row r="176" spans="1:30">
      <c r="A176" s="22">
        <v>701</v>
      </c>
      <c r="B176" s="22" t="s">
        <v>149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19"/>
      <c r="AA176" s="19"/>
      <c r="AB176" s="19"/>
      <c r="AC176" s="19"/>
      <c r="AD176" s="19"/>
    </row>
    <row r="177" spans="1:30">
      <c r="A177" s="22">
        <v>500</v>
      </c>
      <c r="B177" s="22" t="s">
        <v>105</v>
      </c>
      <c r="C177" s="534">
        <v>0.53674599999999995</v>
      </c>
      <c r="D177" s="534">
        <v>0.9423665</v>
      </c>
      <c r="E177" s="534">
        <v>0.45494010000000001</v>
      </c>
      <c r="F177" s="534">
        <v>0.5937114</v>
      </c>
      <c r="G177" s="534">
        <v>0.65240229999999999</v>
      </c>
      <c r="H177" s="534">
        <v>0.44566139999999999</v>
      </c>
      <c r="I177" s="534">
        <v>0.63259379999999998</v>
      </c>
      <c r="J177" s="534">
        <v>0.58987310000000004</v>
      </c>
      <c r="K177" s="534">
        <v>0.51007380000000002</v>
      </c>
      <c r="L177" s="534">
        <v>0.50279560000000001</v>
      </c>
      <c r="M177" s="534">
        <v>0.4981235</v>
      </c>
      <c r="N177" s="7">
        <v>0.54735820000000002</v>
      </c>
      <c r="O177" s="7">
        <v>0.49462430000000002</v>
      </c>
      <c r="P177" s="7">
        <v>0.74150819999999995</v>
      </c>
      <c r="Q177" s="7">
        <v>0.75091730000000001</v>
      </c>
      <c r="R177" s="7">
        <v>0.78767489999999996</v>
      </c>
      <c r="S177" s="7">
        <v>0.74978979999999995</v>
      </c>
      <c r="T177" s="7">
        <v>0.69875350000000003</v>
      </c>
      <c r="U177" s="7">
        <v>0.72998099999999999</v>
      </c>
      <c r="V177" s="7">
        <v>0.79652599999999996</v>
      </c>
      <c r="W177" s="7">
        <v>0.75820569999999998</v>
      </c>
      <c r="X177" s="7">
        <v>0.72688390000000003</v>
      </c>
      <c r="Y177" s="7">
        <v>0.8425899</v>
      </c>
      <c r="Z177" s="8">
        <v>0.80468119999999999</v>
      </c>
      <c r="AA177" s="8">
        <v>0.83761669999999999</v>
      </c>
      <c r="AB177" s="8">
        <v>0.8444855</v>
      </c>
      <c r="AC177" s="8">
        <v>0.88837920000000004</v>
      </c>
      <c r="AD177" s="8">
        <v>0.93833259999999996</v>
      </c>
    </row>
    <row r="178" spans="1:30">
      <c r="A178" s="22">
        <v>369</v>
      </c>
      <c r="B178" s="22" t="s">
        <v>71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7"/>
      <c r="O178" s="7"/>
      <c r="P178" s="7"/>
      <c r="Q178" s="7"/>
      <c r="R178" s="7"/>
      <c r="S178" s="7"/>
      <c r="T178" s="7"/>
      <c r="U178" s="7"/>
      <c r="V178" s="7">
        <v>0.64716010000000002</v>
      </c>
      <c r="W178" s="7">
        <v>0.83765940000000005</v>
      </c>
      <c r="X178" s="7">
        <v>0.74394579999999999</v>
      </c>
      <c r="Y178" s="7">
        <v>0.74213899999999999</v>
      </c>
      <c r="Z178" s="20">
        <v>0.76058460000000006</v>
      </c>
      <c r="AA178" s="20">
        <v>0.73717120000000003</v>
      </c>
      <c r="AB178" s="20">
        <v>0.98493810000000004</v>
      </c>
      <c r="AC178" s="20">
        <v>1.0369120000000001</v>
      </c>
      <c r="AD178" s="20">
        <v>1.0890280000000001</v>
      </c>
    </row>
    <row r="179" spans="1:30">
      <c r="A179" s="22">
        <v>696</v>
      </c>
      <c r="B179" s="22" t="s">
        <v>146</v>
      </c>
      <c r="C179" s="534">
        <v>0.88794819999999997</v>
      </c>
      <c r="D179" s="534">
        <v>1.232866</v>
      </c>
      <c r="E179" s="534">
        <v>1.0332539999999999</v>
      </c>
      <c r="F179" s="534">
        <v>1.146593</v>
      </c>
      <c r="G179" s="534">
        <v>1.3799030000000001</v>
      </c>
      <c r="H179" s="534">
        <v>1.147921</v>
      </c>
      <c r="I179" s="534">
        <v>1.5730170000000001</v>
      </c>
      <c r="J179" s="534">
        <v>1.4809730000000001</v>
      </c>
      <c r="K179" s="534">
        <v>1.6063940000000001</v>
      </c>
      <c r="L179" s="534">
        <v>1.5100819999999999</v>
      </c>
      <c r="M179" s="534">
        <v>1.1505669999999999</v>
      </c>
      <c r="N179" s="7">
        <v>1.080023</v>
      </c>
      <c r="O179" s="7">
        <v>0.84792599999999996</v>
      </c>
      <c r="P179" s="7">
        <v>0.7363999</v>
      </c>
      <c r="Q179" s="7">
        <v>0.91032000000000002</v>
      </c>
      <c r="R179" s="7">
        <v>0.98043150000000001</v>
      </c>
      <c r="S179" s="7">
        <v>0.9109024</v>
      </c>
      <c r="T179" s="7">
        <v>0.89618439999999999</v>
      </c>
      <c r="U179" s="7">
        <v>1.268316</v>
      </c>
      <c r="V179" s="7">
        <v>1.0872109999999999</v>
      </c>
      <c r="W179" s="7">
        <v>0.58230389999999999</v>
      </c>
      <c r="X179" s="7">
        <v>0.6119618</v>
      </c>
      <c r="Y179" s="7">
        <v>0.53028399999999998</v>
      </c>
      <c r="Z179" s="20">
        <v>0.43337920000000002</v>
      </c>
      <c r="AA179" s="20">
        <v>0.5129572</v>
      </c>
      <c r="AB179" s="20">
        <v>0.57189999999999996</v>
      </c>
      <c r="AC179" s="20">
        <v>0.6945308</v>
      </c>
      <c r="AD179" s="20">
        <v>0.69338319999999998</v>
      </c>
    </row>
    <row r="180" spans="1:30">
      <c r="A180" s="22">
        <v>200</v>
      </c>
      <c r="B180" s="22" t="s">
        <v>35</v>
      </c>
      <c r="C180" s="534">
        <v>1.4985539999999999</v>
      </c>
      <c r="D180" s="534">
        <v>1.5165059999999999</v>
      </c>
      <c r="E180" s="534">
        <v>1.628795</v>
      </c>
      <c r="F180" s="534">
        <v>1.544597</v>
      </c>
      <c r="G180" s="534">
        <v>1.6112789999999999</v>
      </c>
      <c r="H180" s="534">
        <v>1.675001</v>
      </c>
      <c r="I180" s="534">
        <v>1.6576139999999999</v>
      </c>
      <c r="J180" s="534">
        <v>1.63758</v>
      </c>
      <c r="K180" s="534">
        <v>1.695692</v>
      </c>
      <c r="L180" s="534">
        <v>1.674142</v>
      </c>
      <c r="M180" s="534">
        <v>1.7573110000000001</v>
      </c>
      <c r="N180" s="7">
        <v>1.7322919999999999</v>
      </c>
      <c r="O180" s="7">
        <v>1.6495839999999999</v>
      </c>
      <c r="P180" s="7">
        <v>1.559569</v>
      </c>
      <c r="Q180" s="7">
        <v>1.747749</v>
      </c>
      <c r="R180" s="7">
        <v>1.666982</v>
      </c>
      <c r="S180" s="7">
        <v>1.6740619999999999</v>
      </c>
      <c r="T180" s="7">
        <v>1.696485</v>
      </c>
      <c r="U180" s="7">
        <v>1.756751</v>
      </c>
      <c r="V180" s="7">
        <v>1.791266</v>
      </c>
      <c r="W180" s="7">
        <v>1.7824059999999999</v>
      </c>
      <c r="X180" s="7">
        <v>1.758683</v>
      </c>
      <c r="Y180" s="7">
        <v>1.6724190000000001</v>
      </c>
      <c r="Z180" s="20">
        <v>1.636789</v>
      </c>
      <c r="AA180" s="20">
        <v>1.636854</v>
      </c>
      <c r="AB180" s="20">
        <v>1.66473</v>
      </c>
      <c r="AC180" s="20">
        <v>1.7102809999999999</v>
      </c>
      <c r="AD180" s="20">
        <v>1.8778349999999999</v>
      </c>
    </row>
    <row r="181" spans="1:30">
      <c r="A181" s="22">
        <v>2</v>
      </c>
      <c r="B181" s="22" t="s">
        <v>0</v>
      </c>
      <c r="C181" s="534">
        <v>1.099766</v>
      </c>
      <c r="D181" s="534">
        <v>1.1407579999999999</v>
      </c>
      <c r="E181" s="534">
        <v>1.078702</v>
      </c>
      <c r="F181" s="534">
        <v>0.85962320000000003</v>
      </c>
      <c r="G181" s="534">
        <v>0.99345799999999995</v>
      </c>
      <c r="H181" s="534">
        <v>1.1156509999999999</v>
      </c>
      <c r="I181" s="534">
        <v>1.107491</v>
      </c>
      <c r="J181" s="534">
        <v>1.1989639999999999</v>
      </c>
      <c r="K181" s="534">
        <v>1.193387</v>
      </c>
      <c r="L181" s="534">
        <v>1.1969749999999999</v>
      </c>
      <c r="M181" s="534">
        <v>1.1459280000000001</v>
      </c>
      <c r="N181" s="7">
        <v>1.0832200000000001</v>
      </c>
      <c r="O181" s="7">
        <v>1.0405800000000001</v>
      </c>
      <c r="P181" s="7">
        <v>1.060146</v>
      </c>
      <c r="Q181" s="7">
        <v>1.08857</v>
      </c>
      <c r="R181" s="7">
        <v>1.1315120000000001</v>
      </c>
      <c r="S181" s="7">
        <v>1.143256</v>
      </c>
      <c r="T181" s="7">
        <v>1.191524</v>
      </c>
      <c r="U181" s="7">
        <v>1.2386630000000001</v>
      </c>
      <c r="V181" s="7">
        <v>1.225484</v>
      </c>
      <c r="W181" s="7">
        <v>1.335172</v>
      </c>
      <c r="X181" s="7">
        <v>1.1439889999999999</v>
      </c>
      <c r="Y181" s="7">
        <v>0.93628140000000004</v>
      </c>
      <c r="Z181" s="18">
        <v>0.86577119999999996</v>
      </c>
      <c r="AA181" s="18">
        <v>0.86935099999999998</v>
      </c>
      <c r="AB181" s="18">
        <v>0.94034139999999999</v>
      </c>
      <c r="AC181" s="18">
        <v>0.921122</v>
      </c>
      <c r="AD181" s="18">
        <v>0.95844839999999998</v>
      </c>
    </row>
    <row r="182" spans="1:30">
      <c r="A182" s="22">
        <v>165</v>
      </c>
      <c r="B182" s="22" t="s">
        <v>34</v>
      </c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19"/>
      <c r="AA182" s="19"/>
      <c r="AB182" s="19"/>
      <c r="AC182" s="19"/>
      <c r="AD182" s="19"/>
    </row>
    <row r="183" spans="1:30">
      <c r="A183" s="22">
        <v>704</v>
      </c>
      <c r="B183" s="22" t="s">
        <v>152</v>
      </c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>
      <c r="A184" s="22">
        <v>935</v>
      </c>
      <c r="B184" s="22" t="s">
        <v>180</v>
      </c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>
      <c r="A185" s="22">
        <v>101</v>
      </c>
      <c r="B185" s="22" t="s">
        <v>24</v>
      </c>
      <c r="C185" s="534">
        <v>1.303026</v>
      </c>
      <c r="D185" s="534">
        <v>1.834846</v>
      </c>
      <c r="E185" s="534">
        <v>1.5635289999999999</v>
      </c>
      <c r="F185" s="534">
        <v>1.4382090000000001</v>
      </c>
      <c r="G185" s="534">
        <v>1.2224079999999999</v>
      </c>
      <c r="H185" s="534">
        <v>1.343248</v>
      </c>
      <c r="I185" s="534">
        <v>0.87395239999999996</v>
      </c>
      <c r="J185" s="534">
        <v>0.64121170000000005</v>
      </c>
      <c r="K185" s="534">
        <v>0.72003729999999999</v>
      </c>
      <c r="L185" s="534">
        <v>0.4325717</v>
      </c>
      <c r="M185" s="534">
        <v>0.2321867</v>
      </c>
      <c r="N185" s="7">
        <v>0.77739720000000001</v>
      </c>
      <c r="O185" s="7">
        <v>0.53993020000000003</v>
      </c>
      <c r="P185" s="7">
        <v>0.59426299999999999</v>
      </c>
      <c r="Q185" s="7">
        <v>0.74629860000000003</v>
      </c>
      <c r="R185" s="7">
        <v>0.37935790000000003</v>
      </c>
      <c r="S185" s="7">
        <v>0.58908309999999997</v>
      </c>
      <c r="T185" s="7">
        <v>1.051283</v>
      </c>
      <c r="U185" s="7">
        <v>0.87722279999999997</v>
      </c>
      <c r="V185" s="7">
        <v>0.59496519999999997</v>
      </c>
      <c r="W185" s="7">
        <v>0.7230645</v>
      </c>
      <c r="X185" s="7">
        <v>1.558535</v>
      </c>
      <c r="Y185" s="7">
        <v>0.79449860000000005</v>
      </c>
      <c r="Z185" s="8">
        <v>0.73070900000000005</v>
      </c>
      <c r="AA185" s="8">
        <v>0.72525879999999998</v>
      </c>
      <c r="AB185" s="8">
        <v>1.080463</v>
      </c>
      <c r="AC185" s="8">
        <v>0.490095</v>
      </c>
      <c r="AD185" s="8">
        <v>0.88732549999999999</v>
      </c>
    </row>
    <row r="186" spans="1:30">
      <c r="A186" s="22">
        <v>816</v>
      </c>
      <c r="B186" s="22" t="s">
        <v>171</v>
      </c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19"/>
      <c r="AA186" s="19"/>
      <c r="AB186" s="19"/>
      <c r="AC186" s="19"/>
      <c r="AD186" s="19"/>
    </row>
    <row r="187" spans="1:30">
      <c r="A187" s="22">
        <v>679</v>
      </c>
      <c r="B187" s="22" t="s">
        <v>142</v>
      </c>
      <c r="C187" s="534">
        <v>1.159295</v>
      </c>
      <c r="D187" s="534">
        <v>1.287366</v>
      </c>
      <c r="E187" s="534">
        <v>1.3585160000000001</v>
      </c>
      <c r="F187" s="534">
        <v>1.5410900000000001</v>
      </c>
      <c r="G187" s="534">
        <v>1.4421839999999999</v>
      </c>
      <c r="H187" s="534">
        <v>1.3486480000000001</v>
      </c>
      <c r="I187" s="534">
        <v>1.1068610000000001</v>
      </c>
      <c r="J187" s="534">
        <v>0.93835650000000004</v>
      </c>
      <c r="K187" s="534">
        <v>0.34148269999999997</v>
      </c>
      <c r="L187" s="534">
        <v>0.38364710000000002</v>
      </c>
      <c r="M187" s="534">
        <v>0.80717340000000004</v>
      </c>
      <c r="N187" s="7">
        <v>0.98003870000000004</v>
      </c>
      <c r="O187" s="7">
        <v>0.71155880000000005</v>
      </c>
      <c r="P187" s="7">
        <v>0.66527119999999995</v>
      </c>
      <c r="Q187" s="7">
        <v>0.57513040000000004</v>
      </c>
      <c r="R187" s="7">
        <v>0.50199450000000001</v>
      </c>
      <c r="S187" s="7">
        <v>0.56381829999999999</v>
      </c>
      <c r="T187" s="7">
        <v>0.56549629999999995</v>
      </c>
      <c r="U187" s="7">
        <v>0.84930760000000005</v>
      </c>
      <c r="V187" s="7">
        <v>0.47050370000000002</v>
      </c>
      <c r="W187" s="7">
        <v>0.19552649999999999</v>
      </c>
      <c r="X187" s="7">
        <v>0.2102455</v>
      </c>
      <c r="Y187" s="7">
        <v>0.423263</v>
      </c>
      <c r="Z187" s="8">
        <v>0.39999069999999998</v>
      </c>
      <c r="AA187" s="8">
        <v>0.41300959999999998</v>
      </c>
      <c r="AB187" s="8">
        <v>0.41458159999999999</v>
      </c>
      <c r="AC187" s="8">
        <v>0.35452620000000001</v>
      </c>
      <c r="AD187" s="8">
        <v>0.33957140000000002</v>
      </c>
    </row>
    <row r="188" spans="1:30">
      <c r="A188" s="22">
        <v>551</v>
      </c>
      <c r="B188" s="22" t="s">
        <v>116</v>
      </c>
      <c r="C188" s="534">
        <v>1.5065489999999999</v>
      </c>
      <c r="D188" s="534">
        <v>1.449643</v>
      </c>
      <c r="E188" s="534">
        <v>1.484405</v>
      </c>
      <c r="F188" s="534">
        <v>1.4886600000000001</v>
      </c>
      <c r="G188" s="534">
        <v>1.3363020000000001</v>
      </c>
      <c r="H188" s="534">
        <v>1.2789680000000001</v>
      </c>
      <c r="I188" s="534">
        <v>1.3467150000000001</v>
      </c>
      <c r="J188" s="534">
        <v>1.397783</v>
      </c>
      <c r="K188" s="534">
        <v>1.034192</v>
      </c>
      <c r="L188" s="534">
        <v>1.241752</v>
      </c>
      <c r="M188" s="534">
        <v>1.3075570000000001</v>
      </c>
      <c r="N188" s="7">
        <v>1.233333</v>
      </c>
      <c r="O188" s="7">
        <v>1.2760940000000001</v>
      </c>
      <c r="P188" s="7">
        <v>1.123823</v>
      </c>
      <c r="Q188" s="7">
        <v>1.245512</v>
      </c>
      <c r="R188" s="7">
        <v>1.214845</v>
      </c>
      <c r="S188" s="7">
        <v>1.195478</v>
      </c>
      <c r="T188" s="7">
        <v>1.1759170000000001</v>
      </c>
      <c r="U188" s="7">
        <v>1.2109749999999999</v>
      </c>
      <c r="V188" s="7">
        <v>1.3238160000000001</v>
      </c>
      <c r="W188" s="7">
        <v>1.317199</v>
      </c>
      <c r="X188" s="7">
        <v>1.2714350000000001</v>
      </c>
      <c r="Y188" s="7">
        <v>1.2021980000000001</v>
      </c>
      <c r="Z188" s="8">
        <v>1.171651</v>
      </c>
      <c r="AA188" s="8">
        <v>1.202286</v>
      </c>
      <c r="AB188" s="8">
        <v>1.206869</v>
      </c>
      <c r="AC188" s="8">
        <v>1.1662060000000001</v>
      </c>
      <c r="AD188" s="8">
        <v>1.180302</v>
      </c>
    </row>
    <row r="189" spans="1:30">
      <c r="A189" s="22">
        <v>552</v>
      </c>
      <c r="B189" s="22" t="s">
        <v>117</v>
      </c>
      <c r="C189" s="534">
        <v>1.169467</v>
      </c>
      <c r="D189" s="534">
        <v>1.5127539999999999</v>
      </c>
      <c r="E189" s="534">
        <v>1.853612</v>
      </c>
      <c r="F189" s="534">
        <v>1.8299270000000001</v>
      </c>
      <c r="G189" s="534">
        <v>2.0221200000000001</v>
      </c>
      <c r="H189" s="534">
        <v>1.994634</v>
      </c>
      <c r="I189" s="534">
        <v>1.978218</v>
      </c>
      <c r="J189" s="534">
        <v>2.1108959999999999</v>
      </c>
      <c r="K189" s="534">
        <v>1.917473</v>
      </c>
      <c r="L189" s="534">
        <v>2.0181249999999999</v>
      </c>
      <c r="M189" s="534">
        <v>1.879542</v>
      </c>
      <c r="N189" s="7">
        <v>1.347037</v>
      </c>
      <c r="O189" s="7">
        <v>1.476024</v>
      </c>
      <c r="P189" s="7">
        <v>1.54643</v>
      </c>
      <c r="Q189" s="7">
        <v>1.255892</v>
      </c>
      <c r="R189" s="7">
        <v>1.4679219999999999</v>
      </c>
      <c r="S189" s="7">
        <v>1.4754449999999999</v>
      </c>
      <c r="T189" s="7">
        <v>1.7225950000000001</v>
      </c>
      <c r="U189" s="7">
        <v>1.805536</v>
      </c>
      <c r="V189" s="7">
        <v>1.5407219999999999</v>
      </c>
      <c r="W189" s="7">
        <v>1.492669</v>
      </c>
      <c r="X189" s="7">
        <v>1.2974870000000001</v>
      </c>
      <c r="Y189" s="7">
        <v>1.2414510000000001</v>
      </c>
      <c r="Z189" s="8">
        <v>1.8392040000000001</v>
      </c>
      <c r="AA189" s="8">
        <v>1.8595079999999999</v>
      </c>
      <c r="AB189" s="8">
        <v>1.4898940000000001</v>
      </c>
      <c r="AC189" s="8">
        <v>1.555707</v>
      </c>
      <c r="AD189" s="8">
        <v>1.515128</v>
      </c>
    </row>
    <row r="190" spans="1:30">
      <c r="A190" s="21"/>
      <c r="B190" s="21"/>
    </row>
    <row r="191" spans="1:30">
      <c r="A191" s="21"/>
      <c r="B191" s="21"/>
    </row>
    <row r="192" spans="1:30">
      <c r="A192" s="21"/>
      <c r="B192" s="21"/>
    </row>
  </sheetData>
  <sortState ref="A2:T185">
    <sortCondition ref="B2:B185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2"/>
  <sheetViews>
    <sheetView topLeftCell="L1" workbookViewId="0">
      <selection activeCell="G38" sqref="G38"/>
    </sheetView>
  </sheetViews>
  <sheetFormatPr defaultRowHeight="15"/>
  <cols>
    <col min="3" max="3" width="8.140625" style="534" customWidth="1"/>
    <col min="4" max="4" width="8.42578125" style="534" customWidth="1"/>
    <col min="5" max="10" width="9.140625" style="534"/>
    <col min="11" max="11" width="9.140625" style="534" customWidth="1"/>
    <col min="12" max="12" width="8.140625" style="534" customWidth="1"/>
    <col min="13" max="13" width="9.140625" style="534"/>
  </cols>
  <sheetData>
    <row r="1" spans="1:30" s="21" customFormat="1">
      <c r="A1" s="12" t="s">
        <v>410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30" s="21" customFormat="1">
      <c r="A2" s="1" t="s">
        <v>412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</row>
    <row r="3" spans="1:30" s="21" customFormat="1">
      <c r="A3" s="21" t="s">
        <v>411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</row>
    <row r="5" spans="1:30">
      <c r="A5" t="s">
        <v>191</v>
      </c>
      <c r="B5" s="21" t="s">
        <v>192</v>
      </c>
      <c r="C5" s="534">
        <v>1980</v>
      </c>
      <c r="D5" s="534">
        <v>1981</v>
      </c>
      <c r="E5" s="534">
        <v>1982</v>
      </c>
      <c r="F5" s="534">
        <v>1983</v>
      </c>
      <c r="G5" s="534">
        <v>1984</v>
      </c>
      <c r="H5" s="534">
        <v>1985</v>
      </c>
      <c r="I5" s="534">
        <v>1986</v>
      </c>
      <c r="J5" s="534">
        <v>1987</v>
      </c>
      <c r="K5" s="534">
        <v>1988</v>
      </c>
      <c r="L5" s="534">
        <v>1989</v>
      </c>
      <c r="M5" s="534">
        <v>1990</v>
      </c>
      <c r="N5">
        <v>1991</v>
      </c>
      <c r="O5">
        <v>1992</v>
      </c>
      <c r="P5">
        <v>1993</v>
      </c>
      <c r="Q5">
        <v>1994</v>
      </c>
      <c r="R5">
        <v>1995</v>
      </c>
      <c r="S5">
        <v>1996</v>
      </c>
      <c r="T5">
        <v>1997</v>
      </c>
      <c r="U5">
        <v>1998</v>
      </c>
      <c r="V5">
        <v>1999</v>
      </c>
      <c r="W5">
        <v>2000</v>
      </c>
      <c r="X5">
        <v>2001</v>
      </c>
      <c r="Y5">
        <v>2002</v>
      </c>
      <c r="Z5">
        <v>2003</v>
      </c>
      <c r="AA5">
        <v>2004</v>
      </c>
      <c r="AB5">
        <v>2005</v>
      </c>
      <c r="AC5">
        <v>2006</v>
      </c>
      <c r="AD5">
        <v>2007</v>
      </c>
    </row>
    <row r="6" spans="1:30">
      <c r="A6">
        <v>2</v>
      </c>
      <c r="B6" t="s">
        <v>0</v>
      </c>
      <c r="C6" s="534">
        <v>0.13170460000000001</v>
      </c>
      <c r="D6" s="534">
        <v>0.13652810000000001</v>
      </c>
      <c r="E6" s="534">
        <v>0.12816060000000001</v>
      </c>
      <c r="F6" s="534">
        <v>0.13150400000000001</v>
      </c>
      <c r="G6" s="534">
        <v>0.13133980000000001</v>
      </c>
      <c r="H6" s="534">
        <v>0.1332526</v>
      </c>
      <c r="I6" s="534">
        <v>0.13209480000000001</v>
      </c>
      <c r="J6" s="534">
        <v>0.1312786</v>
      </c>
      <c r="K6" s="534">
        <v>0.1327556</v>
      </c>
      <c r="L6" s="534">
        <v>0.14669280000000001</v>
      </c>
      <c r="M6" s="534">
        <v>0.139376</v>
      </c>
      <c r="N6">
        <v>0.13559879999999999</v>
      </c>
      <c r="O6">
        <v>0.1460814</v>
      </c>
      <c r="P6">
        <v>0.15270980000000001</v>
      </c>
      <c r="Q6">
        <v>0.14482529999999999</v>
      </c>
      <c r="R6">
        <v>0.14064119999999999</v>
      </c>
      <c r="S6">
        <v>0.1383393</v>
      </c>
      <c r="T6">
        <v>0.13966000000000001</v>
      </c>
      <c r="U6">
        <v>0.1417342</v>
      </c>
      <c r="V6">
        <v>0.1428883</v>
      </c>
      <c r="W6">
        <v>0.1429513</v>
      </c>
      <c r="X6">
        <v>0.14201169999999999</v>
      </c>
      <c r="Y6">
        <v>0.1434598</v>
      </c>
      <c r="Z6">
        <v>0.14209379999999999</v>
      </c>
      <c r="AA6">
        <v>0.14316880000000001</v>
      </c>
      <c r="AB6">
        <v>0.14828959999999999</v>
      </c>
      <c r="AC6">
        <v>0.14637729999999999</v>
      </c>
      <c r="AD6">
        <v>0.14214869999999999</v>
      </c>
    </row>
    <row r="7" spans="1:30">
      <c r="A7">
        <v>20</v>
      </c>
      <c r="B7" t="s">
        <v>1</v>
      </c>
      <c r="C7" s="534">
        <v>1.22626E-2</v>
      </c>
      <c r="D7" s="534">
        <v>1.22387E-2</v>
      </c>
      <c r="E7" s="534">
        <v>1.16481E-2</v>
      </c>
      <c r="F7" s="534">
        <v>1.18277E-2</v>
      </c>
      <c r="G7" s="534">
        <v>1.1837200000000001E-2</v>
      </c>
      <c r="H7" s="534">
        <v>1.14103E-2</v>
      </c>
      <c r="I7" s="534">
        <v>1.15082E-2</v>
      </c>
      <c r="J7" s="534">
        <v>1.1733499999999999E-2</v>
      </c>
      <c r="K7" s="534">
        <v>1.18674E-2</v>
      </c>
      <c r="L7" s="534">
        <v>1.2387799999999999E-2</v>
      </c>
      <c r="M7" s="534">
        <v>1.16063E-2</v>
      </c>
      <c r="N7">
        <v>1.23652E-2</v>
      </c>
      <c r="O7">
        <v>1.24408E-2</v>
      </c>
      <c r="P7">
        <v>1.2425200000000001E-2</v>
      </c>
      <c r="Q7">
        <v>1.2020299999999999E-2</v>
      </c>
      <c r="R7">
        <v>1.1727E-2</v>
      </c>
      <c r="S7">
        <v>1.1686800000000001E-2</v>
      </c>
      <c r="T7">
        <v>1.16001E-2</v>
      </c>
      <c r="U7">
        <v>1.18511E-2</v>
      </c>
      <c r="V7">
        <v>1.1898300000000001E-2</v>
      </c>
      <c r="W7">
        <v>1.1820000000000001E-2</v>
      </c>
      <c r="X7">
        <v>1.1386E-2</v>
      </c>
      <c r="Y7">
        <v>1.12931E-2</v>
      </c>
      <c r="Z7">
        <v>1.09833E-2</v>
      </c>
      <c r="AA7">
        <v>1.08033E-2</v>
      </c>
      <c r="AB7">
        <v>1.07274E-2</v>
      </c>
      <c r="AC7">
        <v>1.0448799999999999E-2</v>
      </c>
      <c r="AD7">
        <v>1.06829E-2</v>
      </c>
    </row>
    <row r="8" spans="1:30">
      <c r="A8">
        <v>31</v>
      </c>
      <c r="B8" t="s">
        <v>2</v>
      </c>
      <c r="C8" s="534">
        <v>2.332E-4</v>
      </c>
      <c r="D8" s="534">
        <v>1.9210000000000001E-4</v>
      </c>
      <c r="E8" s="534">
        <v>2.0699999999999999E-4</v>
      </c>
      <c r="F8" s="534">
        <v>1.8589999999999999E-4</v>
      </c>
      <c r="G8" s="534">
        <v>1.217E-4</v>
      </c>
      <c r="H8" s="534">
        <v>5.3100000000000003E-5</v>
      </c>
      <c r="I8" s="534">
        <v>3.4400000000000003E-5</v>
      </c>
      <c r="J8" s="534">
        <v>3.4400000000000003E-5</v>
      </c>
      <c r="K8" s="534">
        <v>4.5599999999999997E-5</v>
      </c>
      <c r="L8" s="534">
        <v>5.8E-5</v>
      </c>
      <c r="M8" s="534">
        <v>5.0599999999999997E-5</v>
      </c>
      <c r="N8">
        <v>4.2599999999999999E-5</v>
      </c>
      <c r="O8">
        <v>4.3800000000000001E-5</v>
      </c>
      <c r="P8">
        <v>4.71E-5</v>
      </c>
      <c r="Q8">
        <v>3.5800000000000003E-5</v>
      </c>
      <c r="R8">
        <v>3.4799999999999999E-5</v>
      </c>
      <c r="S8">
        <v>3.4499999999999998E-5</v>
      </c>
      <c r="T8">
        <v>3.4E-5</v>
      </c>
      <c r="U8">
        <v>3.4700000000000003E-5</v>
      </c>
      <c r="V8">
        <v>4.1999999999999998E-5</v>
      </c>
      <c r="W8">
        <v>4.2299999999999998E-5</v>
      </c>
      <c r="X8">
        <v>4.2200000000000003E-5</v>
      </c>
      <c r="Y8">
        <v>4.1699999999999997E-5</v>
      </c>
      <c r="Z8">
        <v>4.0200000000000001E-5</v>
      </c>
      <c r="AA8">
        <v>4.1300000000000001E-5</v>
      </c>
      <c r="AB8">
        <v>4.1499999999999999E-5</v>
      </c>
      <c r="AC8">
        <v>4.2700000000000001E-5</v>
      </c>
      <c r="AD8">
        <v>4.3699999999999998E-5</v>
      </c>
    </row>
    <row r="9" spans="1:30">
      <c r="A9">
        <v>40</v>
      </c>
      <c r="B9" t="s">
        <v>3</v>
      </c>
      <c r="C9" s="534">
        <v>2.8741999999999999E-3</v>
      </c>
      <c r="D9" s="534">
        <v>2.9223000000000001E-3</v>
      </c>
      <c r="E9" s="534">
        <v>2.9361999999999999E-3</v>
      </c>
      <c r="F9" s="534">
        <v>3.0417999999999999E-3</v>
      </c>
      <c r="G9" s="534">
        <v>3.1939999999999998E-3</v>
      </c>
      <c r="H9" s="534">
        <v>3.4212999999999999E-3</v>
      </c>
      <c r="I9" s="534">
        <v>3.3421000000000002E-3</v>
      </c>
      <c r="J9" s="534">
        <v>3.3758E-3</v>
      </c>
      <c r="K9" s="534">
        <v>3.4229E-3</v>
      </c>
      <c r="L9" s="534">
        <v>3.2644000000000002E-3</v>
      </c>
      <c r="M9" s="534">
        <v>3.1637000000000002E-3</v>
      </c>
      <c r="N9">
        <v>3.2334E-3</v>
      </c>
      <c r="O9">
        <v>2.6890999999999998E-3</v>
      </c>
      <c r="P9">
        <v>2.6432000000000001E-3</v>
      </c>
      <c r="Q9">
        <v>1.9758000000000002E-3</v>
      </c>
      <c r="R9">
        <v>1.575E-3</v>
      </c>
      <c r="S9">
        <v>1.5529000000000001E-3</v>
      </c>
      <c r="T9">
        <v>1.4488000000000001E-3</v>
      </c>
      <c r="U9">
        <v>1.4399E-3</v>
      </c>
      <c r="V9">
        <v>1.3883999999999999E-3</v>
      </c>
      <c r="W9">
        <v>1.4429E-3</v>
      </c>
      <c r="X9">
        <v>1.3718999999999999E-3</v>
      </c>
      <c r="Y9">
        <v>1.4047E-3</v>
      </c>
      <c r="Z9">
        <v>1.3326E-3</v>
      </c>
      <c r="AA9">
        <v>1.3443999999999999E-3</v>
      </c>
      <c r="AB9">
        <v>1.366E-3</v>
      </c>
      <c r="AC9">
        <v>1.3709E-3</v>
      </c>
      <c r="AD9">
        <v>1.3522E-3</v>
      </c>
    </row>
    <row r="10" spans="1:30">
      <c r="A10">
        <v>41</v>
      </c>
      <c r="B10" t="s">
        <v>4</v>
      </c>
      <c r="C10" s="534">
        <v>3.5649999999999999E-4</v>
      </c>
      <c r="D10" s="534">
        <v>3.5990000000000002E-4</v>
      </c>
      <c r="E10" s="534">
        <v>3.5750000000000002E-4</v>
      </c>
      <c r="F10" s="534">
        <v>3.5419999999999999E-4</v>
      </c>
      <c r="G10" s="534">
        <v>3.321E-4</v>
      </c>
      <c r="H10" s="534">
        <v>3.4640000000000002E-4</v>
      </c>
      <c r="I10" s="534">
        <v>4.3689999999999999E-4</v>
      </c>
      <c r="J10" s="534">
        <v>3.8430000000000002E-4</v>
      </c>
      <c r="K10" s="534">
        <v>3.9449999999999999E-4</v>
      </c>
      <c r="L10" s="534">
        <v>4.1750000000000001E-4</v>
      </c>
      <c r="M10" s="534">
        <v>4.0200000000000001E-4</v>
      </c>
      <c r="N10">
        <v>4.2230000000000002E-4</v>
      </c>
      <c r="O10">
        <v>4.3580000000000002E-4</v>
      </c>
      <c r="P10">
        <v>5.0750000000000003E-4</v>
      </c>
      <c r="Q10">
        <v>4.392E-4</v>
      </c>
      <c r="R10">
        <v>3.7760000000000002E-4</v>
      </c>
      <c r="S10">
        <v>3.9550000000000002E-4</v>
      </c>
      <c r="T10">
        <v>3.8289999999999998E-4</v>
      </c>
      <c r="U10">
        <v>3.9310000000000001E-4</v>
      </c>
      <c r="V10">
        <v>3.927E-4</v>
      </c>
      <c r="W10">
        <v>4.7340000000000001E-4</v>
      </c>
      <c r="X10">
        <v>4.2020000000000002E-4</v>
      </c>
      <c r="Y10">
        <v>5.0160000000000005E-4</v>
      </c>
      <c r="Z10">
        <v>4.8939999999999997E-4</v>
      </c>
      <c r="AA10">
        <v>6.3590000000000001E-4</v>
      </c>
      <c r="AB10">
        <v>5.1469999999999999E-4</v>
      </c>
      <c r="AC10">
        <v>5.2119999999999998E-4</v>
      </c>
      <c r="AD10">
        <v>5.4180000000000005E-4</v>
      </c>
    </row>
    <row r="11" spans="1:30">
      <c r="A11">
        <v>42</v>
      </c>
      <c r="B11" t="s">
        <v>5</v>
      </c>
      <c r="C11" s="534">
        <v>8.0570000000000001E-4</v>
      </c>
      <c r="D11" s="534">
        <v>7.9989999999999998E-4</v>
      </c>
      <c r="E11" s="534">
        <v>7.9259999999999997E-4</v>
      </c>
      <c r="F11" s="534">
        <v>7.7399999999999995E-4</v>
      </c>
      <c r="G11" s="534">
        <v>7.4129999999999997E-4</v>
      </c>
      <c r="H11" s="534">
        <v>7.1159999999999995E-4</v>
      </c>
      <c r="I11" s="534">
        <v>6.9769999999999999E-4</v>
      </c>
      <c r="J11" s="534">
        <v>6.9999999999999999E-4</v>
      </c>
      <c r="K11" s="534">
        <v>6.8369999999999998E-4</v>
      </c>
      <c r="L11" s="534">
        <v>6.9539999999999999E-4</v>
      </c>
      <c r="M11" s="534">
        <v>6.8530000000000002E-4</v>
      </c>
      <c r="N11">
        <v>7.1489999999999998E-4</v>
      </c>
      <c r="O11">
        <v>7.3289999999999998E-4</v>
      </c>
      <c r="P11">
        <v>7.4200000000000004E-4</v>
      </c>
      <c r="Q11">
        <v>7.5359999999999999E-4</v>
      </c>
      <c r="R11">
        <v>7.5880000000000001E-4</v>
      </c>
      <c r="S11">
        <v>7.6670000000000004E-4</v>
      </c>
      <c r="T11">
        <v>7.7729999999999997E-4</v>
      </c>
      <c r="U11">
        <v>8.0000000000000004E-4</v>
      </c>
      <c r="V11">
        <v>8.4020000000000004E-4</v>
      </c>
      <c r="W11">
        <v>8.0579999999999996E-4</v>
      </c>
      <c r="X11">
        <v>8.2859999999999997E-4</v>
      </c>
      <c r="Y11">
        <v>9.4859999999999996E-4</v>
      </c>
      <c r="Z11">
        <v>9.1169999999999999E-4</v>
      </c>
      <c r="AA11">
        <v>9.3669999999999995E-4</v>
      </c>
      <c r="AB11">
        <v>9.5870000000000005E-4</v>
      </c>
      <c r="AC11">
        <v>9.6270000000000004E-4</v>
      </c>
      <c r="AD11">
        <v>9.6889999999999997E-4</v>
      </c>
    </row>
    <row r="12" spans="1:30">
      <c r="A12">
        <v>51</v>
      </c>
      <c r="B12" t="s">
        <v>6</v>
      </c>
      <c r="C12" s="534">
        <v>1.4310000000000001E-4</v>
      </c>
      <c r="D12" s="534">
        <v>1.4109999999999999E-4</v>
      </c>
      <c r="E12" s="534">
        <v>1.416E-4</v>
      </c>
      <c r="F12" s="534">
        <v>1.5589999999999999E-4</v>
      </c>
      <c r="G12" s="534">
        <v>1.361E-4</v>
      </c>
      <c r="H12" s="534">
        <v>1.4229999999999999E-4</v>
      </c>
      <c r="I12" s="534">
        <v>1.4630000000000001E-4</v>
      </c>
      <c r="J12" s="534">
        <v>1.4109999999999999E-4</v>
      </c>
      <c r="K12" s="534">
        <v>1.4190000000000001E-4</v>
      </c>
      <c r="L12" s="534">
        <v>1.4329999999999999E-4</v>
      </c>
      <c r="M12" s="534">
        <v>1.4579999999999999E-4</v>
      </c>
      <c r="N12">
        <v>1.4210000000000001E-4</v>
      </c>
      <c r="O12">
        <v>1.448E-4</v>
      </c>
      <c r="P12">
        <v>1.4999999999999999E-4</v>
      </c>
      <c r="Q12">
        <v>1.585E-4</v>
      </c>
      <c r="R12">
        <v>1.671E-4</v>
      </c>
      <c r="S12">
        <v>1.727E-4</v>
      </c>
      <c r="T12">
        <v>1.8139999999999999E-4</v>
      </c>
      <c r="U12">
        <v>1.863E-4</v>
      </c>
      <c r="V12">
        <v>1.8359999999999999E-4</v>
      </c>
      <c r="W12">
        <v>1.9249999999999999E-4</v>
      </c>
      <c r="X12">
        <v>1.975E-4</v>
      </c>
      <c r="Y12">
        <v>2.0049999999999999E-4</v>
      </c>
      <c r="Z12">
        <v>1.8760000000000001E-4</v>
      </c>
      <c r="AA12">
        <v>1.808E-4</v>
      </c>
      <c r="AB12">
        <v>1.7699999999999999E-4</v>
      </c>
      <c r="AC12">
        <v>1.872E-4</v>
      </c>
      <c r="AD12">
        <v>1.9149999999999999E-4</v>
      </c>
    </row>
    <row r="13" spans="1:30">
      <c r="A13">
        <v>52</v>
      </c>
      <c r="B13" t="s">
        <v>7</v>
      </c>
      <c r="C13" s="534">
        <v>4.0660000000000002E-4</v>
      </c>
      <c r="D13" s="534">
        <v>3.5560000000000002E-4</v>
      </c>
      <c r="E13" s="534">
        <v>3.8289999999999998E-4</v>
      </c>
      <c r="F13" s="534">
        <v>3.0370000000000001E-4</v>
      </c>
      <c r="G13" s="534">
        <v>2.4259999999999999E-4</v>
      </c>
      <c r="H13" s="534">
        <v>2.6289999999999999E-4</v>
      </c>
      <c r="I13" s="534">
        <v>2.6009999999999998E-4</v>
      </c>
      <c r="J13" s="534">
        <v>2.6420000000000003E-4</v>
      </c>
      <c r="K13" s="534">
        <v>2.3580000000000001E-4</v>
      </c>
      <c r="L13" s="534">
        <v>2.0469999999999999E-4</v>
      </c>
      <c r="M13" s="534">
        <v>3.234E-4</v>
      </c>
      <c r="N13">
        <v>3.1559999999999997E-4</v>
      </c>
      <c r="O13">
        <v>3.5179999999999999E-4</v>
      </c>
      <c r="P13">
        <v>3.6919999999999998E-4</v>
      </c>
      <c r="Q13">
        <v>3.6160000000000001E-4</v>
      </c>
      <c r="R13">
        <v>3.86E-4</v>
      </c>
      <c r="S13">
        <v>3.815E-4</v>
      </c>
      <c r="T13">
        <v>3.6210000000000002E-4</v>
      </c>
      <c r="U13">
        <v>3.9760000000000002E-4</v>
      </c>
      <c r="V13">
        <v>3.9800000000000002E-4</v>
      </c>
      <c r="W13">
        <v>4.0700000000000003E-4</v>
      </c>
      <c r="X13">
        <v>3.9439999999999999E-4</v>
      </c>
      <c r="Y13">
        <v>4.06E-4</v>
      </c>
      <c r="Z13">
        <v>4.1179999999999998E-4</v>
      </c>
      <c r="AA13">
        <v>3.745E-4</v>
      </c>
      <c r="AB13">
        <v>3.5740000000000001E-4</v>
      </c>
      <c r="AC13">
        <v>3.6699999999999998E-4</v>
      </c>
      <c r="AD13">
        <v>3.5349999999999997E-4</v>
      </c>
    </row>
    <row r="14" spans="1:30">
      <c r="A14">
        <v>53</v>
      </c>
      <c r="B14" t="s">
        <v>8</v>
      </c>
      <c r="C14" s="534">
        <v>2.4600000000000002E-5</v>
      </c>
      <c r="D14" s="534">
        <v>2.3900000000000002E-5</v>
      </c>
      <c r="E14" s="534">
        <v>2.2799999999999999E-5</v>
      </c>
      <c r="F14" s="534">
        <v>2.26E-5</v>
      </c>
      <c r="G14" s="534">
        <v>2.16E-5</v>
      </c>
      <c r="H14" s="534">
        <v>2.16E-5</v>
      </c>
      <c r="I14" s="534">
        <v>2.1399999999999998E-5</v>
      </c>
      <c r="J14" s="534">
        <v>2.0699999999999998E-5</v>
      </c>
      <c r="K14" s="534">
        <v>1.5099999999999999E-5</v>
      </c>
      <c r="L14" s="534">
        <v>1.5099999999999999E-5</v>
      </c>
      <c r="M14" s="534">
        <v>1.7200000000000001E-5</v>
      </c>
      <c r="N14">
        <v>1.5400000000000002E-5</v>
      </c>
      <c r="O14">
        <v>1.4E-5</v>
      </c>
      <c r="P14">
        <v>1.5E-5</v>
      </c>
      <c r="Q14">
        <v>1.4E-5</v>
      </c>
      <c r="R14">
        <v>1.43E-5</v>
      </c>
      <c r="S14">
        <v>1.4E-5</v>
      </c>
      <c r="T14">
        <v>1.36E-5</v>
      </c>
      <c r="U14">
        <v>1.1600000000000001E-5</v>
      </c>
      <c r="V14">
        <v>1.15E-5</v>
      </c>
      <c r="W14">
        <v>1.91E-5</v>
      </c>
      <c r="X14">
        <v>1.9400000000000001E-5</v>
      </c>
      <c r="Y14">
        <v>1.91E-5</v>
      </c>
      <c r="Z14">
        <v>2.05E-5</v>
      </c>
      <c r="AA14">
        <v>2.02E-5</v>
      </c>
      <c r="AB14">
        <v>2.0599999999999999E-5</v>
      </c>
      <c r="AC14">
        <v>2.0400000000000001E-5</v>
      </c>
      <c r="AD14">
        <v>2.02E-5</v>
      </c>
    </row>
    <row r="15" spans="1:30">
      <c r="A15">
        <v>54</v>
      </c>
      <c r="B15" t="s">
        <v>9</v>
      </c>
      <c r="C15" s="23">
        <v>3.4000000000000001E-6</v>
      </c>
      <c r="D15" s="23">
        <v>3.3400000000000002E-6</v>
      </c>
      <c r="E15" s="23">
        <v>3.3699999999999999E-6</v>
      </c>
      <c r="F15" s="23">
        <v>3.3400000000000002E-6</v>
      </c>
      <c r="G15" s="23">
        <v>3.2200000000000001E-6</v>
      </c>
      <c r="H15" s="23">
        <v>3.1599999999999998E-6</v>
      </c>
      <c r="I15" s="23">
        <v>2.5500000000000001E-6</v>
      </c>
      <c r="J15" s="23">
        <v>2.48E-6</v>
      </c>
      <c r="K15" s="23">
        <v>2.4399999999999999E-6</v>
      </c>
      <c r="L15" s="23">
        <v>2.3700000000000002E-6</v>
      </c>
      <c r="M15" s="23">
        <v>2.3E-6</v>
      </c>
      <c r="N15" s="23">
        <v>2.2699999999999999E-6</v>
      </c>
      <c r="O15" s="23">
        <v>2.26E-6</v>
      </c>
      <c r="P15" s="23">
        <v>2.26E-6</v>
      </c>
      <c r="Q15" s="23">
        <v>2.26E-6</v>
      </c>
      <c r="R15" s="23">
        <v>2.17E-6</v>
      </c>
      <c r="S15" s="23">
        <v>2.2299999999999998E-6</v>
      </c>
      <c r="T15" s="23">
        <v>2.12E-6</v>
      </c>
      <c r="U15" s="23">
        <v>2.0999999999999998E-6</v>
      </c>
      <c r="V15" s="23">
        <v>2.0700000000000001E-6</v>
      </c>
      <c r="W15" s="23">
        <v>2.0499999999999999E-6</v>
      </c>
      <c r="X15" s="23">
        <v>2.03E-6</v>
      </c>
      <c r="Y15" s="23">
        <v>1.99E-6</v>
      </c>
      <c r="Z15" s="23">
        <v>1.95E-6</v>
      </c>
      <c r="AA15" s="23">
        <v>1.9300000000000002E-6</v>
      </c>
      <c r="AB15" s="23">
        <v>1.9300000000000002E-6</v>
      </c>
      <c r="AC15" s="23">
        <v>1.9099999999999999E-6</v>
      </c>
      <c r="AD15" s="23">
        <v>1.88E-6</v>
      </c>
    </row>
    <row r="16" spans="1:30">
      <c r="A16">
        <v>55</v>
      </c>
      <c r="B16" t="s">
        <v>10</v>
      </c>
      <c r="C16" s="23">
        <v>1.2500000000000001E-5</v>
      </c>
      <c r="D16" s="23">
        <v>1.13E-5</v>
      </c>
      <c r="E16" s="23">
        <v>1.0900000000000001E-5</v>
      </c>
      <c r="F16" s="23">
        <v>9.9699999999999994E-6</v>
      </c>
      <c r="G16" s="23">
        <v>4.0300000000000004E-6</v>
      </c>
      <c r="H16" s="23">
        <v>3.8399999999999997E-6</v>
      </c>
      <c r="I16" s="23">
        <v>4.0300000000000004E-6</v>
      </c>
      <c r="J16" s="23">
        <v>3.9700000000000001E-6</v>
      </c>
      <c r="K16" s="23">
        <v>3.6200000000000001E-6</v>
      </c>
      <c r="L16" s="23">
        <v>3.6200000000000001E-6</v>
      </c>
      <c r="M16" s="23">
        <v>3.5099999999999999E-6</v>
      </c>
      <c r="N16" s="23">
        <v>3.5200000000000002E-6</v>
      </c>
      <c r="O16" s="23">
        <v>3.4599999999999999E-6</v>
      </c>
      <c r="P16" s="23">
        <v>3.45E-6</v>
      </c>
      <c r="Q16" s="23">
        <v>2.8499999999999998E-6</v>
      </c>
      <c r="R16" s="23">
        <v>2.8100000000000002E-6</v>
      </c>
      <c r="S16" s="23">
        <v>2.7800000000000001E-6</v>
      </c>
      <c r="T16" s="23">
        <v>2.7800000000000001E-6</v>
      </c>
      <c r="U16" s="23">
        <v>2.7599999999999998E-6</v>
      </c>
      <c r="V16" s="23">
        <v>2.7300000000000001E-6</v>
      </c>
      <c r="W16" s="23">
        <v>2.7300000000000001E-6</v>
      </c>
      <c r="X16" s="23">
        <v>2.92E-6</v>
      </c>
      <c r="Y16" s="23">
        <v>2.9100000000000001E-6</v>
      </c>
      <c r="Z16" s="23">
        <v>2.8700000000000001E-6</v>
      </c>
      <c r="AA16" s="23">
        <v>2.8499999999999998E-6</v>
      </c>
      <c r="AB16" s="23">
        <v>2.8600000000000001E-6</v>
      </c>
      <c r="AC16" s="23">
        <v>2.8499999999999998E-6</v>
      </c>
      <c r="AD16" s="23">
        <v>2.8899999999999999E-6</v>
      </c>
    </row>
    <row r="17" spans="1:30">
      <c r="A17">
        <v>56</v>
      </c>
      <c r="B17" t="s">
        <v>11</v>
      </c>
      <c r="C17" s="23">
        <v>4.78E-6</v>
      </c>
      <c r="D17" s="23">
        <v>4.78E-6</v>
      </c>
      <c r="E17" s="23">
        <v>4.8099999999999997E-6</v>
      </c>
      <c r="F17" s="23">
        <v>4.8099999999999997E-6</v>
      </c>
      <c r="G17" s="23">
        <v>4.7899999999999999E-6</v>
      </c>
      <c r="H17" s="23">
        <v>4.8199999999999996E-6</v>
      </c>
      <c r="I17" s="23">
        <v>4.8400000000000002E-6</v>
      </c>
      <c r="J17" s="23">
        <v>4.8300000000000003E-6</v>
      </c>
      <c r="K17" s="23">
        <v>4.87E-6</v>
      </c>
      <c r="L17" s="23">
        <v>4.8899999999999998E-6</v>
      </c>
      <c r="M17" s="23">
        <v>4.2699999999999998E-6</v>
      </c>
      <c r="N17" s="23">
        <v>4.33E-6</v>
      </c>
      <c r="O17" s="23">
        <v>4.3699999999999997E-6</v>
      </c>
      <c r="P17" s="23">
        <v>4.3800000000000004E-6</v>
      </c>
      <c r="Q17" s="23">
        <v>4.3900000000000003E-6</v>
      </c>
      <c r="R17" s="23">
        <v>4.4499999999999997E-6</v>
      </c>
      <c r="S17" s="23">
        <v>4.3599999999999998E-6</v>
      </c>
      <c r="T17" s="23">
        <v>4.3699999999999997E-6</v>
      </c>
      <c r="U17" s="23">
        <v>4.4499999999999997E-6</v>
      </c>
      <c r="V17" s="23">
        <v>4.4599999999999996E-6</v>
      </c>
      <c r="W17" s="23">
        <v>4.4700000000000004E-6</v>
      </c>
      <c r="X17" s="23">
        <v>4.5600000000000004E-6</v>
      </c>
      <c r="Y17" s="23">
        <v>4.5299999999999998E-6</v>
      </c>
      <c r="Z17" s="23">
        <v>4.5199999999999999E-6</v>
      </c>
      <c r="AA17" s="23">
        <v>4.4900000000000002E-6</v>
      </c>
      <c r="AB17" s="23">
        <v>4.5000000000000001E-6</v>
      </c>
      <c r="AC17" s="23">
        <v>4.5000000000000001E-6</v>
      </c>
      <c r="AD17" s="23">
        <v>4.5000000000000001E-6</v>
      </c>
    </row>
    <row r="18" spans="1:30">
      <c r="A18">
        <v>57</v>
      </c>
      <c r="B18" t="s">
        <v>12</v>
      </c>
      <c r="C18" s="23">
        <v>4.0799999999999999E-6</v>
      </c>
      <c r="D18" s="23">
        <v>4.0600000000000001E-6</v>
      </c>
      <c r="E18" s="23">
        <v>4.0600000000000001E-6</v>
      </c>
      <c r="F18" s="23">
        <v>4.07E-6</v>
      </c>
      <c r="G18" s="23">
        <v>4.0799999999999999E-6</v>
      </c>
      <c r="H18" s="23">
        <v>4.0500000000000002E-6</v>
      </c>
      <c r="I18" s="23">
        <v>4.07E-6</v>
      </c>
      <c r="J18" s="23">
        <v>4.07E-6</v>
      </c>
      <c r="K18" s="23">
        <v>4.0400000000000003E-6</v>
      </c>
      <c r="L18" s="23">
        <v>4.1699999999999999E-6</v>
      </c>
      <c r="M18" s="23">
        <v>4.0400000000000003E-6</v>
      </c>
      <c r="N18" s="23">
        <v>4.0600000000000001E-6</v>
      </c>
      <c r="O18" s="23">
        <v>4.1200000000000004E-6</v>
      </c>
      <c r="P18" s="23">
        <v>4.07E-6</v>
      </c>
      <c r="Q18" s="23">
        <v>3.3699999999999999E-6</v>
      </c>
      <c r="R18" s="23">
        <v>3.3500000000000001E-6</v>
      </c>
      <c r="S18" s="23">
        <v>3.3100000000000001E-6</v>
      </c>
      <c r="T18" s="23">
        <v>3.3000000000000002E-6</v>
      </c>
      <c r="U18" s="23">
        <v>3.2600000000000001E-6</v>
      </c>
      <c r="V18" s="23">
        <v>3.2399999999999999E-6</v>
      </c>
      <c r="W18" s="23">
        <v>3.2399999999999999E-6</v>
      </c>
      <c r="X18" s="23">
        <v>3.0800000000000002E-6</v>
      </c>
      <c r="Y18" s="23">
        <v>3.0199999999999999E-6</v>
      </c>
      <c r="Z18" s="23">
        <v>2.9000000000000002E-6</v>
      </c>
      <c r="AA18" s="23">
        <v>2.8700000000000001E-6</v>
      </c>
      <c r="AB18" s="23">
        <v>2.8100000000000002E-6</v>
      </c>
      <c r="AC18" s="23">
        <v>2.7599999999999998E-6</v>
      </c>
      <c r="AD18" s="23">
        <v>2.7E-6</v>
      </c>
    </row>
    <row r="19" spans="1:30">
      <c r="A19">
        <v>58</v>
      </c>
      <c r="B19" t="s">
        <v>13</v>
      </c>
      <c r="D19" s="23">
        <v>3.1E-6</v>
      </c>
      <c r="E19" s="23">
        <v>5.4299999999999997E-6</v>
      </c>
      <c r="F19" s="23">
        <v>3.6399999999999999E-6</v>
      </c>
      <c r="G19" s="23">
        <v>3.9199999999999997E-6</v>
      </c>
      <c r="H19" s="23">
        <v>3.8500000000000004E-6</v>
      </c>
      <c r="I19" s="23">
        <v>3.7699999999999999E-6</v>
      </c>
      <c r="J19" s="23">
        <v>3.7100000000000001E-6</v>
      </c>
      <c r="K19" s="23">
        <v>3.6100000000000002E-6</v>
      </c>
      <c r="L19" s="23">
        <v>3.5499999999999999E-6</v>
      </c>
      <c r="M19" s="23">
        <v>3.6600000000000001E-6</v>
      </c>
      <c r="N19" s="23">
        <v>3.4599999999999999E-6</v>
      </c>
      <c r="O19" s="23">
        <v>3.4199999999999999E-6</v>
      </c>
      <c r="P19" s="23">
        <v>3.41E-6</v>
      </c>
      <c r="Q19" s="23">
        <v>3.4300000000000002E-6</v>
      </c>
      <c r="R19" s="23">
        <v>3.4199999999999999E-6</v>
      </c>
      <c r="S19" s="23">
        <v>3.58E-6</v>
      </c>
      <c r="T19" s="23">
        <v>3.3100000000000001E-6</v>
      </c>
      <c r="U19" s="23">
        <v>2.8100000000000002E-6</v>
      </c>
      <c r="V19" s="23">
        <v>2.7800000000000001E-6</v>
      </c>
      <c r="W19" s="23">
        <v>2.7599999999999998E-6</v>
      </c>
      <c r="X19" s="23">
        <v>2.9699999999999999E-6</v>
      </c>
      <c r="Y19" s="23">
        <v>2.9399999999999998E-6</v>
      </c>
      <c r="Z19" s="23">
        <v>2.8700000000000001E-6</v>
      </c>
      <c r="AA19" s="23">
        <v>2.8100000000000002E-6</v>
      </c>
      <c r="AB19" s="23">
        <v>3.0000000000000001E-6</v>
      </c>
      <c r="AC19" s="23">
        <v>2.9799999999999998E-6</v>
      </c>
      <c r="AD19" s="23">
        <v>2.9399999999999998E-6</v>
      </c>
    </row>
    <row r="20" spans="1:30">
      <c r="A20">
        <v>60</v>
      </c>
      <c r="B20" t="s">
        <v>14</v>
      </c>
      <c r="F20" s="23">
        <v>2.04E-6</v>
      </c>
      <c r="G20" s="23">
        <v>1.9099999999999999E-6</v>
      </c>
      <c r="H20" s="23">
        <v>1.8300000000000001E-6</v>
      </c>
      <c r="I20" s="23">
        <v>1.8199999999999999E-6</v>
      </c>
      <c r="J20" s="23">
        <v>1.7E-6</v>
      </c>
      <c r="K20" s="23">
        <v>2.0499999999999999E-6</v>
      </c>
      <c r="L20" s="23">
        <v>1.9300000000000002E-6</v>
      </c>
      <c r="M20" s="23">
        <v>1.88E-6</v>
      </c>
      <c r="N20" s="23">
        <v>1.8199999999999999E-6</v>
      </c>
      <c r="O20" s="23">
        <v>1.86E-6</v>
      </c>
      <c r="P20" s="23">
        <v>1.8899999999999999E-6</v>
      </c>
      <c r="Q20" s="23">
        <v>1.88E-6</v>
      </c>
      <c r="R20" s="23">
        <v>1.8500000000000001E-6</v>
      </c>
      <c r="S20" s="23">
        <v>1.7099999999999999E-6</v>
      </c>
      <c r="T20" s="23">
        <v>1.7400000000000001E-6</v>
      </c>
      <c r="U20" s="23">
        <v>1.61E-6</v>
      </c>
      <c r="V20" s="23">
        <v>1.5600000000000001E-6</v>
      </c>
      <c r="W20" s="23">
        <v>1.5E-6</v>
      </c>
      <c r="X20" s="23">
        <v>1.75E-6</v>
      </c>
      <c r="Y20" s="23">
        <v>1.77E-6</v>
      </c>
      <c r="Z20" s="23">
        <v>1.77E-6</v>
      </c>
      <c r="AA20" s="23">
        <v>1.72E-6</v>
      </c>
      <c r="AB20" s="23">
        <v>1.73E-6</v>
      </c>
      <c r="AC20" s="23">
        <v>1.59E-6</v>
      </c>
      <c r="AD20" s="23">
        <v>1.5999999999999999E-6</v>
      </c>
    </row>
    <row r="21" spans="1:30">
      <c r="A21">
        <v>70</v>
      </c>
      <c r="B21" t="s">
        <v>15</v>
      </c>
      <c r="C21" s="23">
        <v>1.23257E-2</v>
      </c>
      <c r="D21" s="23">
        <v>1.2619500000000001E-2</v>
      </c>
      <c r="E21" s="23">
        <v>1.2941100000000001E-2</v>
      </c>
      <c r="F21" s="23">
        <v>1.2485400000000001E-2</v>
      </c>
      <c r="G21" s="23">
        <v>1.17298E-2</v>
      </c>
      <c r="H21" s="23">
        <v>1.1696099999999999E-2</v>
      </c>
      <c r="I21" s="23">
        <v>1.1480600000000001E-2</v>
      </c>
      <c r="J21" s="23">
        <v>1.1493099999999999E-2</v>
      </c>
      <c r="K21" s="534">
        <v>1.1354400000000001E-2</v>
      </c>
      <c r="L21" s="534">
        <v>1.1428300000000001E-2</v>
      </c>
      <c r="M21" s="534">
        <v>1.1681800000000001E-2</v>
      </c>
      <c r="N21">
        <v>1.19515E-2</v>
      </c>
      <c r="O21">
        <v>1.23137E-2</v>
      </c>
      <c r="P21">
        <v>1.20307E-2</v>
      </c>
      <c r="Q21">
        <v>1.25386E-2</v>
      </c>
      <c r="R21">
        <v>1.2693299999999999E-2</v>
      </c>
      <c r="S21">
        <v>1.30408E-2</v>
      </c>
      <c r="T21">
        <v>1.3547E-2</v>
      </c>
      <c r="U21">
        <v>1.3765299999999999E-2</v>
      </c>
      <c r="V21">
        <v>1.3930400000000001E-2</v>
      </c>
      <c r="W21">
        <v>1.33092E-2</v>
      </c>
      <c r="X21">
        <v>1.3081199999999999E-2</v>
      </c>
      <c r="Y21">
        <v>1.25381E-2</v>
      </c>
      <c r="Z21">
        <v>1.2179000000000001E-2</v>
      </c>
      <c r="AA21">
        <v>1.22895E-2</v>
      </c>
      <c r="AB21">
        <v>1.20374E-2</v>
      </c>
      <c r="AC21">
        <v>1.18072E-2</v>
      </c>
      <c r="AD21">
        <v>1.2268599999999999E-2</v>
      </c>
    </row>
    <row r="22" spans="1:30">
      <c r="A22">
        <v>80</v>
      </c>
      <c r="B22" t="s">
        <v>16</v>
      </c>
      <c r="D22" s="23">
        <v>1.38E-5</v>
      </c>
      <c r="E22" s="23">
        <v>1.4E-5</v>
      </c>
      <c r="F22" s="23">
        <v>1.4399999999999999E-5</v>
      </c>
      <c r="G22" s="23">
        <v>1.3900000000000001E-5</v>
      </c>
      <c r="H22" s="23">
        <v>1.38E-5</v>
      </c>
      <c r="I22" s="23">
        <v>1.3699999999999999E-5</v>
      </c>
      <c r="J22" s="23">
        <v>1.5E-5</v>
      </c>
      <c r="K22" s="534">
        <v>1.4399999999999999E-5</v>
      </c>
      <c r="L22" s="534">
        <v>1.5099999999999999E-5</v>
      </c>
      <c r="M22" s="534">
        <v>1.49E-5</v>
      </c>
      <c r="N22">
        <v>1.5400000000000002E-5</v>
      </c>
      <c r="O22">
        <v>1.6900000000000001E-5</v>
      </c>
      <c r="P22">
        <v>1.5999999999999999E-5</v>
      </c>
      <c r="Q22">
        <v>1.6900000000000001E-5</v>
      </c>
      <c r="R22">
        <v>1.7499999999999998E-5</v>
      </c>
      <c r="S22">
        <v>1.8099999999999999E-5</v>
      </c>
      <c r="T22">
        <v>1.8700000000000001E-5</v>
      </c>
      <c r="U22">
        <v>1.9000000000000001E-5</v>
      </c>
      <c r="V22">
        <v>1.9000000000000001E-5</v>
      </c>
      <c r="W22">
        <v>1.9300000000000002E-5</v>
      </c>
      <c r="X22">
        <v>2.0000000000000002E-5</v>
      </c>
      <c r="Y22">
        <v>1.9199999999999999E-5</v>
      </c>
      <c r="Z22">
        <v>1.9300000000000002E-5</v>
      </c>
      <c r="AA22">
        <v>1.9700000000000001E-5</v>
      </c>
      <c r="AB22">
        <v>2.0000000000000002E-5</v>
      </c>
      <c r="AC22">
        <v>2.0599999999999999E-5</v>
      </c>
      <c r="AD22">
        <v>2.0699999999999998E-5</v>
      </c>
    </row>
    <row r="23" spans="1:30">
      <c r="A23">
        <v>90</v>
      </c>
      <c r="B23" t="s">
        <v>17</v>
      </c>
      <c r="C23" s="23">
        <v>6.1660000000000003E-4</v>
      </c>
      <c r="D23" s="23">
        <v>6.5530000000000004E-4</v>
      </c>
      <c r="E23" s="23">
        <v>6.826E-4</v>
      </c>
      <c r="F23" s="23">
        <v>7.4540000000000001E-4</v>
      </c>
      <c r="G23" s="23">
        <v>7.2800000000000002E-4</v>
      </c>
      <c r="H23" s="23">
        <v>7.4980000000000001E-4</v>
      </c>
      <c r="I23" s="534">
        <v>7.3749999999999998E-4</v>
      </c>
      <c r="J23" s="534">
        <v>7.3470000000000002E-4</v>
      </c>
      <c r="K23" s="534">
        <v>7.3780000000000004E-4</v>
      </c>
      <c r="L23" s="534">
        <v>7.5060000000000003E-4</v>
      </c>
      <c r="M23" s="534">
        <v>7.4019999999999999E-4</v>
      </c>
      <c r="N23">
        <v>7.9310000000000003E-4</v>
      </c>
      <c r="O23">
        <v>8.187E-4</v>
      </c>
      <c r="P23">
        <v>8.229E-4</v>
      </c>
      <c r="Q23">
        <v>7.6130000000000002E-4</v>
      </c>
      <c r="R23">
        <v>7.6029999999999999E-4</v>
      </c>
      <c r="S23">
        <v>7.76E-4</v>
      </c>
      <c r="T23">
        <v>7.3070000000000003E-4</v>
      </c>
      <c r="U23">
        <v>7.4010000000000005E-4</v>
      </c>
      <c r="V23">
        <v>7.4549999999999996E-4</v>
      </c>
      <c r="W23">
        <v>8.116E-4</v>
      </c>
      <c r="X23">
        <v>8.943E-4</v>
      </c>
      <c r="Y23">
        <v>8.9110000000000003E-4</v>
      </c>
      <c r="Z23">
        <v>8.6669999999999998E-4</v>
      </c>
      <c r="AA23">
        <v>8.652E-4</v>
      </c>
      <c r="AB23">
        <v>8.6160000000000002E-4</v>
      </c>
      <c r="AC23">
        <v>8.8119999999999995E-4</v>
      </c>
      <c r="AD23">
        <v>7.8919999999999999E-4</v>
      </c>
    </row>
    <row r="24" spans="1:30">
      <c r="A24">
        <v>91</v>
      </c>
      <c r="B24" t="s">
        <v>18</v>
      </c>
      <c r="C24" s="23">
        <v>3.9399999999999998E-4</v>
      </c>
      <c r="D24" s="23">
        <v>4.0690000000000002E-4</v>
      </c>
      <c r="E24" s="23">
        <v>4.193E-4</v>
      </c>
      <c r="F24" s="23">
        <v>4.4749999999999998E-4</v>
      </c>
      <c r="G24" s="23">
        <v>4.5580000000000002E-4</v>
      </c>
      <c r="H24" s="534">
        <v>4.6880000000000001E-4</v>
      </c>
      <c r="I24" s="534">
        <v>4.683E-4</v>
      </c>
      <c r="J24" s="534">
        <v>4.8270000000000002E-4</v>
      </c>
      <c r="K24" s="534">
        <v>5.1119999999999996E-4</v>
      </c>
      <c r="L24" s="534">
        <v>4.9120000000000001E-4</v>
      </c>
      <c r="M24" s="534">
        <v>4.7409999999999998E-4</v>
      </c>
      <c r="N24">
        <v>4.9240000000000004E-4</v>
      </c>
      <c r="O24">
        <v>4.9899999999999999E-4</v>
      </c>
      <c r="P24">
        <v>4.9310000000000001E-4</v>
      </c>
      <c r="Q24">
        <v>4.9240000000000004E-4</v>
      </c>
      <c r="R24">
        <v>4.9249999999999999E-4</v>
      </c>
      <c r="S24">
        <v>4.4860000000000001E-4</v>
      </c>
      <c r="T24">
        <v>4.4640000000000001E-4</v>
      </c>
      <c r="U24">
        <v>4.1629999999999998E-4</v>
      </c>
      <c r="V24">
        <v>4.2119999999999999E-4</v>
      </c>
      <c r="W24">
        <v>4.2109999999999999E-4</v>
      </c>
      <c r="X24">
        <v>4.2329999999999999E-4</v>
      </c>
      <c r="Y24">
        <v>4.861E-4</v>
      </c>
      <c r="Z24">
        <v>5.0810000000000004E-4</v>
      </c>
      <c r="AA24">
        <v>5.2419999999999995E-4</v>
      </c>
      <c r="AB24">
        <v>5.2680000000000001E-4</v>
      </c>
      <c r="AC24">
        <v>4.4460000000000002E-4</v>
      </c>
      <c r="AD24">
        <v>4.5429999999999998E-4</v>
      </c>
    </row>
    <row r="25" spans="1:30">
      <c r="A25">
        <v>92</v>
      </c>
      <c r="B25" t="s">
        <v>19</v>
      </c>
      <c r="C25" s="23">
        <v>4.8450000000000001E-4</v>
      </c>
      <c r="D25" s="23">
        <v>5.3129999999999996E-4</v>
      </c>
      <c r="E25" s="23">
        <v>5.6320000000000003E-4</v>
      </c>
      <c r="F25" s="23">
        <v>5.9000000000000003E-4</v>
      </c>
      <c r="G25" s="534">
        <v>6.5720000000000004E-4</v>
      </c>
      <c r="H25" s="534">
        <v>6.8659999999999999E-4</v>
      </c>
      <c r="I25" s="534">
        <v>6.5830000000000001E-4</v>
      </c>
      <c r="J25" s="534">
        <v>6.711E-4</v>
      </c>
      <c r="K25" s="534">
        <v>6.5760000000000005E-4</v>
      </c>
      <c r="L25" s="534">
        <v>6.6220000000000005E-4</v>
      </c>
      <c r="M25" s="534">
        <v>7.138E-4</v>
      </c>
      <c r="N25">
        <v>8.0610000000000002E-4</v>
      </c>
      <c r="O25">
        <v>7.6909999999999999E-4</v>
      </c>
      <c r="P25">
        <v>7.6079999999999995E-4</v>
      </c>
      <c r="Q25">
        <v>6.3480000000000003E-4</v>
      </c>
      <c r="R25">
        <v>5.8620000000000005E-4</v>
      </c>
      <c r="S25">
        <v>5.9179999999999996E-4</v>
      </c>
      <c r="T25">
        <v>5.488E-4</v>
      </c>
      <c r="U25">
        <v>5.5369999999999996E-4</v>
      </c>
      <c r="V25">
        <v>5.5979999999999995E-4</v>
      </c>
      <c r="W25">
        <v>5.7669999999999998E-4</v>
      </c>
      <c r="X25">
        <v>5.911E-4</v>
      </c>
      <c r="Y25">
        <v>5.8299999999999997E-4</v>
      </c>
      <c r="Z25">
        <v>5.5889999999999998E-4</v>
      </c>
      <c r="AA25">
        <v>5.6619999999999999E-4</v>
      </c>
      <c r="AB25">
        <v>5.6599999999999999E-4</v>
      </c>
      <c r="AC25">
        <v>5.7249999999999998E-4</v>
      </c>
      <c r="AD25">
        <v>5.754E-4</v>
      </c>
    </row>
    <row r="26" spans="1:30">
      <c r="A26">
        <v>93</v>
      </c>
      <c r="B26" t="s">
        <v>20</v>
      </c>
      <c r="C26" s="23">
        <v>4.1310000000000001E-4</v>
      </c>
      <c r="D26" s="23">
        <v>5.3649999999999998E-4</v>
      </c>
      <c r="E26" s="23">
        <v>5.5880000000000003E-4</v>
      </c>
      <c r="F26" s="534">
        <v>6.0800000000000003E-4</v>
      </c>
      <c r="G26" s="534">
        <v>7.7260000000000002E-4</v>
      </c>
      <c r="H26" s="534">
        <v>8.3850000000000005E-4</v>
      </c>
      <c r="I26" s="534">
        <v>7.7579999999999999E-4</v>
      </c>
      <c r="J26" s="534">
        <v>7.5829999999999995E-4</v>
      </c>
      <c r="K26" s="534">
        <v>7.0910000000000005E-4</v>
      </c>
      <c r="L26" s="534">
        <v>7.6429999999999998E-4</v>
      </c>
      <c r="M26" s="534">
        <v>4.861E-4</v>
      </c>
      <c r="N26">
        <v>4.4190000000000001E-4</v>
      </c>
      <c r="O26">
        <v>4.194E-4</v>
      </c>
      <c r="P26">
        <v>4.215E-4</v>
      </c>
      <c r="Q26">
        <v>3.7639999999999999E-4</v>
      </c>
      <c r="R26">
        <v>3.7750000000000001E-4</v>
      </c>
      <c r="S26">
        <v>3.6660000000000002E-4</v>
      </c>
      <c r="T26">
        <v>3.6870000000000002E-4</v>
      </c>
      <c r="U26">
        <v>3.8259999999999998E-4</v>
      </c>
      <c r="V26">
        <v>3.6620000000000001E-4</v>
      </c>
      <c r="W26">
        <v>3.9550000000000002E-4</v>
      </c>
      <c r="X26">
        <v>4.0470000000000002E-4</v>
      </c>
      <c r="Y26">
        <v>3.8749999999999999E-4</v>
      </c>
      <c r="Z26">
        <v>3.7790000000000002E-4</v>
      </c>
      <c r="AA26">
        <v>3.8680000000000002E-4</v>
      </c>
      <c r="AB26">
        <v>3.8670000000000002E-4</v>
      </c>
      <c r="AC26">
        <v>3.8620000000000001E-4</v>
      </c>
      <c r="AD26">
        <v>3.8830000000000001E-4</v>
      </c>
    </row>
    <row r="27" spans="1:30">
      <c r="A27">
        <v>94</v>
      </c>
      <c r="B27" t="s">
        <v>21</v>
      </c>
      <c r="C27" s="23">
        <v>2.0330000000000001E-4</v>
      </c>
      <c r="D27" s="23">
        <v>2.009E-4</v>
      </c>
      <c r="E27" s="534">
        <v>2.0450000000000001E-4</v>
      </c>
      <c r="F27" s="534">
        <v>2.1120000000000001E-4</v>
      </c>
      <c r="G27" s="534">
        <v>2.128E-4</v>
      </c>
      <c r="H27" s="534">
        <v>2.207E-4</v>
      </c>
      <c r="I27" s="534">
        <v>2.274E-4</v>
      </c>
      <c r="J27" s="534">
        <v>2.3039999999999999E-4</v>
      </c>
      <c r="K27" s="534">
        <v>2.32E-4</v>
      </c>
      <c r="L27" s="534">
        <v>2.4600000000000002E-4</v>
      </c>
      <c r="M27" s="534">
        <v>2.4130000000000001E-4</v>
      </c>
      <c r="N27">
        <v>2.5169999999999999E-4</v>
      </c>
      <c r="O27">
        <v>2.6029999999999998E-4</v>
      </c>
      <c r="P27">
        <v>2.7109999999999998E-4</v>
      </c>
      <c r="Q27">
        <v>2.6259999999999999E-4</v>
      </c>
      <c r="R27">
        <v>2.6459999999999998E-4</v>
      </c>
      <c r="S27">
        <v>2.6170000000000002E-4</v>
      </c>
      <c r="T27">
        <v>2.7930000000000001E-4</v>
      </c>
      <c r="U27">
        <v>2.8610000000000002E-4</v>
      </c>
      <c r="V27">
        <v>2.8620000000000002E-4</v>
      </c>
      <c r="W27">
        <v>2.588E-4</v>
      </c>
      <c r="X27">
        <v>2.5759999999999997E-4</v>
      </c>
      <c r="Y27">
        <v>2.2139999999999999E-4</v>
      </c>
      <c r="Z27">
        <v>2.1499999999999999E-4</v>
      </c>
      <c r="AA27">
        <v>2.2039999999999999E-4</v>
      </c>
      <c r="AB27">
        <v>2.2049999999999999E-4</v>
      </c>
      <c r="AC27">
        <v>2.254E-4</v>
      </c>
      <c r="AD27">
        <v>2.396E-4</v>
      </c>
    </row>
    <row r="28" spans="1:30">
      <c r="A28">
        <v>95</v>
      </c>
      <c r="B28" t="s">
        <v>22</v>
      </c>
      <c r="C28" s="23">
        <v>2.789E-4</v>
      </c>
      <c r="D28" s="534">
        <v>2.8640000000000002E-4</v>
      </c>
      <c r="E28" s="534">
        <v>2.9760000000000002E-4</v>
      </c>
      <c r="F28" s="534">
        <v>2.968E-4</v>
      </c>
      <c r="G28" s="534">
        <v>2.8929999999999998E-4</v>
      </c>
      <c r="H28" s="534">
        <v>2.9270000000000001E-4</v>
      </c>
      <c r="I28" s="534">
        <v>2.8580000000000001E-4</v>
      </c>
      <c r="J28" s="534">
        <v>2.9050000000000001E-4</v>
      </c>
      <c r="K28" s="534">
        <v>2.7470000000000001E-4</v>
      </c>
      <c r="L28" s="534">
        <v>3.0479999999999998E-4</v>
      </c>
      <c r="M28" s="534">
        <v>2.8210000000000003E-4</v>
      </c>
      <c r="N28">
        <v>2.8739999999999999E-4</v>
      </c>
      <c r="O28">
        <v>2.923E-4</v>
      </c>
      <c r="P28">
        <v>2.9399999999999999E-4</v>
      </c>
      <c r="Q28">
        <v>2.8469999999999998E-4</v>
      </c>
      <c r="R28">
        <v>2.8880000000000003E-4</v>
      </c>
      <c r="S28">
        <v>3.0140000000000001E-4</v>
      </c>
      <c r="T28">
        <v>3.0360000000000001E-4</v>
      </c>
      <c r="U28">
        <v>3.1470000000000001E-4</v>
      </c>
      <c r="V28">
        <v>3.1550000000000003E-4</v>
      </c>
      <c r="W28">
        <v>2.5260000000000001E-4</v>
      </c>
      <c r="X28">
        <v>2.5230000000000001E-4</v>
      </c>
      <c r="Y28">
        <v>1.9809999999999999E-4</v>
      </c>
      <c r="Z28">
        <v>1.808E-4</v>
      </c>
      <c r="AA28">
        <v>1.8870000000000001E-4</v>
      </c>
      <c r="AB28">
        <v>1.9220000000000001E-4</v>
      </c>
      <c r="AC28">
        <v>1.9320000000000001E-4</v>
      </c>
      <c r="AD28">
        <v>1.964E-4</v>
      </c>
    </row>
    <row r="29" spans="1:30">
      <c r="A29">
        <v>100</v>
      </c>
      <c r="B29" t="s">
        <v>23</v>
      </c>
      <c r="C29" s="534">
        <v>3.6557999999999998E-3</v>
      </c>
      <c r="D29" s="534">
        <v>3.6914000000000001E-3</v>
      </c>
      <c r="E29" s="534">
        <v>3.7464E-3</v>
      </c>
      <c r="F29" s="534">
        <v>4.1631999999999997E-3</v>
      </c>
      <c r="G29" s="534">
        <v>3.9807000000000002E-3</v>
      </c>
      <c r="H29" s="534">
        <v>3.9129000000000004E-3</v>
      </c>
      <c r="I29" s="534">
        <v>3.9971E-3</v>
      </c>
      <c r="J29" s="534">
        <v>4.0255000000000004E-3</v>
      </c>
      <c r="K29" s="534">
        <v>3.9380999999999999E-3</v>
      </c>
      <c r="L29" s="534">
        <v>4.1488000000000002E-3</v>
      </c>
      <c r="M29" s="534">
        <v>4.3061999999999996E-3</v>
      </c>
      <c r="N29">
        <v>4.5097000000000002E-3</v>
      </c>
      <c r="O29">
        <v>4.6692000000000001E-3</v>
      </c>
      <c r="P29">
        <v>4.6725999999999998E-3</v>
      </c>
      <c r="Q29">
        <v>4.6985000000000004E-3</v>
      </c>
      <c r="R29">
        <v>4.8221999999999996E-3</v>
      </c>
      <c r="S29">
        <v>4.9779000000000004E-3</v>
      </c>
      <c r="T29">
        <v>5.0054000000000001E-3</v>
      </c>
      <c r="U29">
        <v>5.2047999999999999E-3</v>
      </c>
      <c r="V29">
        <v>5.0939000000000002E-3</v>
      </c>
      <c r="W29">
        <v>5.2601000000000002E-3</v>
      </c>
      <c r="X29">
        <v>5.3258000000000003E-3</v>
      </c>
      <c r="Y29">
        <v>5.4003999999999996E-3</v>
      </c>
      <c r="Z29">
        <v>5.5284000000000002E-3</v>
      </c>
      <c r="AA29">
        <v>5.7619000000000004E-3</v>
      </c>
      <c r="AB29">
        <v>5.9674000000000003E-3</v>
      </c>
      <c r="AC29">
        <v>6.0064000000000003E-3</v>
      </c>
      <c r="AD29">
        <v>6.1742000000000003E-3</v>
      </c>
    </row>
    <row r="30" spans="1:30">
      <c r="A30">
        <v>101</v>
      </c>
      <c r="B30" t="s">
        <v>24</v>
      </c>
      <c r="C30" s="534">
        <v>4.3544999999999999E-3</v>
      </c>
      <c r="D30" s="534">
        <v>4.3785999999999999E-3</v>
      </c>
      <c r="E30" s="534">
        <v>4.7127999999999996E-3</v>
      </c>
      <c r="F30" s="534">
        <v>4.4428000000000002E-3</v>
      </c>
      <c r="G30" s="534">
        <v>4.1609000000000004E-3</v>
      </c>
      <c r="H30" s="534">
        <v>4.2001E-3</v>
      </c>
      <c r="I30" s="534">
        <v>4.2640000000000004E-3</v>
      </c>
      <c r="J30" s="534">
        <v>4.2392000000000003E-3</v>
      </c>
      <c r="K30" s="534">
        <v>4.2433000000000002E-3</v>
      </c>
      <c r="L30" s="534">
        <v>4.2430999999999996E-3</v>
      </c>
      <c r="M30" s="534">
        <v>4.2452999999999996E-3</v>
      </c>
      <c r="N30">
        <v>4.6515000000000003E-3</v>
      </c>
      <c r="O30">
        <v>4.3388999999999997E-3</v>
      </c>
      <c r="P30">
        <v>4.5969000000000001E-3</v>
      </c>
      <c r="Q30">
        <v>4.6876000000000001E-3</v>
      </c>
      <c r="R30">
        <v>4.6750000000000003E-3</v>
      </c>
      <c r="S30">
        <v>4.6855000000000004E-3</v>
      </c>
      <c r="T30">
        <v>4.8786999999999997E-3</v>
      </c>
      <c r="U30">
        <v>4.8726999999999998E-3</v>
      </c>
      <c r="V30">
        <v>4.7101000000000001E-3</v>
      </c>
      <c r="W30">
        <v>4.5129000000000002E-3</v>
      </c>
      <c r="X30">
        <v>4.8558999999999998E-3</v>
      </c>
      <c r="Y30">
        <v>4.7442999999999999E-3</v>
      </c>
      <c r="Z30">
        <v>4.4114999999999996E-3</v>
      </c>
      <c r="AA30">
        <v>4.5440000000000003E-3</v>
      </c>
      <c r="AB30">
        <v>4.7216000000000003E-3</v>
      </c>
      <c r="AC30">
        <v>4.6103000000000003E-3</v>
      </c>
      <c r="AD30">
        <v>4.5591E-3</v>
      </c>
    </row>
    <row r="31" spans="1:30">
      <c r="A31">
        <v>110</v>
      </c>
      <c r="B31" t="s">
        <v>25</v>
      </c>
      <c r="C31" s="534">
        <v>8.1000000000000004E-5</v>
      </c>
      <c r="D31" s="534">
        <v>8.1100000000000006E-5</v>
      </c>
      <c r="E31" s="534">
        <v>8.0500000000000005E-5</v>
      </c>
      <c r="F31" s="534">
        <v>7.8899999999999993E-5</v>
      </c>
      <c r="G31" s="534">
        <v>9.59E-5</v>
      </c>
      <c r="H31" s="534">
        <v>9.7E-5</v>
      </c>
      <c r="I31" s="534">
        <v>9.2899999999999995E-5</v>
      </c>
      <c r="J31" s="534">
        <v>7.5400000000000003E-5</v>
      </c>
      <c r="K31" s="534">
        <v>6.8300000000000007E-5</v>
      </c>
      <c r="L31" s="534">
        <v>6.6500000000000004E-5</v>
      </c>
      <c r="M31" s="534">
        <v>6.7399999999999998E-5</v>
      </c>
      <c r="N31">
        <v>7.0400000000000004E-5</v>
      </c>
      <c r="O31">
        <v>6.8100000000000002E-5</v>
      </c>
      <c r="P31">
        <v>5.7599999999999997E-5</v>
      </c>
      <c r="Q31">
        <v>5.7800000000000002E-5</v>
      </c>
      <c r="R31">
        <v>5.7099999999999999E-5</v>
      </c>
      <c r="S31">
        <v>5.6900000000000001E-5</v>
      </c>
      <c r="T31">
        <v>5.6499999999999998E-5</v>
      </c>
      <c r="U31">
        <v>5.6700000000000003E-5</v>
      </c>
      <c r="V31">
        <v>5.6400000000000002E-5</v>
      </c>
      <c r="W31">
        <v>5.5800000000000001E-5</v>
      </c>
      <c r="X31">
        <v>5.2899999999999998E-5</v>
      </c>
      <c r="Y31">
        <v>5.2099999999999999E-5</v>
      </c>
      <c r="Z31">
        <v>5.0599999999999997E-5</v>
      </c>
      <c r="AA31">
        <v>5.0300000000000003E-5</v>
      </c>
      <c r="AB31">
        <v>5.0099999999999998E-5</v>
      </c>
      <c r="AC31">
        <v>4.9499999999999997E-5</v>
      </c>
      <c r="AD31">
        <v>4.9200000000000003E-5</v>
      </c>
    </row>
    <row r="32" spans="1:30">
      <c r="A32">
        <v>115</v>
      </c>
      <c r="B32" t="s">
        <v>26</v>
      </c>
      <c r="C32" s="534">
        <v>5.5399999999999998E-5</v>
      </c>
      <c r="D32" s="534">
        <v>5.3699999999999997E-5</v>
      </c>
      <c r="E32" s="534">
        <v>5.9599999999999999E-5</v>
      </c>
      <c r="F32" s="534">
        <v>5.8E-5</v>
      </c>
      <c r="G32" s="534">
        <v>5.7000000000000003E-5</v>
      </c>
      <c r="H32" s="534">
        <v>5.3699999999999997E-5</v>
      </c>
      <c r="I32" s="534">
        <v>6.0600000000000003E-5</v>
      </c>
      <c r="J32" s="534">
        <v>7.4800000000000002E-5</v>
      </c>
      <c r="K32" s="534">
        <v>7.0500000000000006E-5</v>
      </c>
      <c r="L32" s="534">
        <v>7.64E-5</v>
      </c>
      <c r="M32" s="534">
        <v>8.5799999999999998E-5</v>
      </c>
      <c r="N32">
        <v>8.6600000000000004E-5</v>
      </c>
      <c r="O32">
        <v>7.25E-5</v>
      </c>
      <c r="P32">
        <v>7.1000000000000005E-5</v>
      </c>
      <c r="Q32">
        <v>5.94E-5</v>
      </c>
      <c r="R32">
        <v>5.8499999999999999E-5</v>
      </c>
      <c r="S32">
        <v>5.7200000000000001E-5</v>
      </c>
      <c r="T32">
        <v>5.7200000000000001E-5</v>
      </c>
      <c r="U32">
        <v>5.6400000000000002E-5</v>
      </c>
      <c r="V32">
        <v>5.4700000000000001E-5</v>
      </c>
      <c r="W32">
        <v>5.8300000000000001E-5</v>
      </c>
      <c r="X32">
        <v>6.1500000000000004E-5</v>
      </c>
      <c r="Y32">
        <v>5.94E-5</v>
      </c>
      <c r="Z32">
        <v>5.6900000000000001E-5</v>
      </c>
      <c r="AA32">
        <v>4.9799999999999998E-5</v>
      </c>
      <c r="AB32">
        <v>4.99E-5</v>
      </c>
      <c r="AC32">
        <v>5.77E-5</v>
      </c>
      <c r="AD32">
        <v>5.7899999999999998E-5</v>
      </c>
    </row>
    <row r="33" spans="1:30">
      <c r="A33">
        <v>130</v>
      </c>
      <c r="B33" t="s">
        <v>27</v>
      </c>
      <c r="C33" s="534">
        <v>1.1130999999999999E-3</v>
      </c>
      <c r="D33" s="534">
        <v>1.1364999999999999E-3</v>
      </c>
      <c r="E33" s="534">
        <v>1.1712000000000001E-3</v>
      </c>
      <c r="F33" s="534">
        <v>1.1769E-3</v>
      </c>
      <c r="G33" s="534">
        <v>1.2202000000000001E-3</v>
      </c>
      <c r="H33" s="534">
        <v>1.2086E-3</v>
      </c>
      <c r="I33" s="534">
        <v>1.1444000000000001E-3</v>
      </c>
      <c r="J33" s="534">
        <v>1.2524000000000001E-3</v>
      </c>
      <c r="K33" s="534">
        <v>1.2749E-3</v>
      </c>
      <c r="L33" s="534">
        <v>1.2798E-3</v>
      </c>
      <c r="M33" s="534">
        <v>1.2489000000000001E-3</v>
      </c>
      <c r="N33">
        <v>1.3035E-3</v>
      </c>
      <c r="O33">
        <v>1.5755999999999999E-3</v>
      </c>
      <c r="P33">
        <v>1.4467E-3</v>
      </c>
      <c r="Q33">
        <v>1.4437E-3</v>
      </c>
      <c r="R33">
        <v>1.5111E-3</v>
      </c>
      <c r="S33">
        <v>1.5743E-3</v>
      </c>
      <c r="T33">
        <v>1.5673E-3</v>
      </c>
      <c r="U33">
        <v>1.5770999999999999E-3</v>
      </c>
      <c r="V33">
        <v>1.5156E-3</v>
      </c>
      <c r="W33">
        <v>1.5271E-3</v>
      </c>
      <c r="X33">
        <v>1.5518000000000001E-3</v>
      </c>
      <c r="Y33">
        <v>1.5292999999999999E-3</v>
      </c>
      <c r="Z33">
        <v>1.4931E-3</v>
      </c>
      <c r="AA33">
        <v>1.4606E-3</v>
      </c>
      <c r="AB33">
        <v>1.4036000000000001E-3</v>
      </c>
      <c r="AC33">
        <v>1.4132000000000001E-3</v>
      </c>
      <c r="AD33">
        <v>1.5181999999999999E-3</v>
      </c>
    </row>
    <row r="34" spans="1:30">
      <c r="A34">
        <v>135</v>
      </c>
      <c r="B34" t="s">
        <v>28</v>
      </c>
      <c r="C34" s="534">
        <v>3.4047000000000001E-3</v>
      </c>
      <c r="D34" s="534">
        <v>3.2975000000000001E-3</v>
      </c>
      <c r="E34" s="534">
        <v>3.5292000000000001E-3</v>
      </c>
      <c r="F34" s="534">
        <v>3.5071E-3</v>
      </c>
      <c r="G34" s="534">
        <v>3.2816999999999998E-3</v>
      </c>
      <c r="H34" s="534">
        <v>3.1461000000000002E-3</v>
      </c>
      <c r="I34" s="534">
        <v>3.1816000000000001E-3</v>
      </c>
      <c r="J34" s="534">
        <v>3.5363999999999999E-3</v>
      </c>
      <c r="K34" s="534">
        <v>3.1300999999999998E-3</v>
      </c>
      <c r="L34" s="534">
        <v>3.1375000000000001E-3</v>
      </c>
      <c r="M34" s="534">
        <v>3.163E-3</v>
      </c>
      <c r="N34">
        <v>3.3284E-3</v>
      </c>
      <c r="O34">
        <v>3.2940000000000001E-3</v>
      </c>
      <c r="P34">
        <v>3.2561999999999999E-3</v>
      </c>
      <c r="Q34">
        <v>3.2415E-3</v>
      </c>
      <c r="R34">
        <v>3.2345E-3</v>
      </c>
      <c r="S34">
        <v>3.2545999999999999E-3</v>
      </c>
      <c r="T34">
        <v>3.2567E-3</v>
      </c>
      <c r="U34">
        <v>3.2403000000000002E-3</v>
      </c>
      <c r="V34">
        <v>3.1534000000000002E-3</v>
      </c>
      <c r="W34">
        <v>3.1492999999999998E-3</v>
      </c>
      <c r="X34">
        <v>3.0634999999999998E-3</v>
      </c>
      <c r="Y34">
        <v>3.0999000000000001E-3</v>
      </c>
      <c r="Z34">
        <v>2.9363000000000002E-3</v>
      </c>
      <c r="AA34">
        <v>2.8581000000000001E-3</v>
      </c>
      <c r="AB34">
        <v>2.7587000000000002E-3</v>
      </c>
      <c r="AC34">
        <v>2.8467000000000002E-3</v>
      </c>
      <c r="AD34">
        <v>2.9859999999999999E-3</v>
      </c>
    </row>
    <row r="35" spans="1:30">
      <c r="A35">
        <v>140</v>
      </c>
      <c r="B35" t="s">
        <v>29</v>
      </c>
      <c r="C35" s="534">
        <v>2.29257E-2</v>
      </c>
      <c r="D35" s="534">
        <v>2.25255E-2</v>
      </c>
      <c r="E35" s="534">
        <v>2.3004299999999998E-2</v>
      </c>
      <c r="F35" s="534">
        <v>2.3478599999999999E-2</v>
      </c>
      <c r="G35" s="534">
        <v>2.47005E-2</v>
      </c>
      <c r="H35" s="534">
        <v>2.55144E-2</v>
      </c>
      <c r="I35" s="534">
        <v>2.5972599999999998E-2</v>
      </c>
      <c r="J35" s="534">
        <v>2.6234E-2</v>
      </c>
      <c r="K35" s="534">
        <v>2.5067300000000001E-2</v>
      </c>
      <c r="L35" s="534">
        <v>2.6225700000000001E-2</v>
      </c>
      <c r="M35" s="534">
        <v>2.3635400000000001E-2</v>
      </c>
      <c r="N35">
        <v>2.4341600000000001E-2</v>
      </c>
      <c r="O35">
        <v>2.5296699999999998E-2</v>
      </c>
      <c r="P35">
        <v>2.5491900000000001E-2</v>
      </c>
      <c r="Q35">
        <v>2.5611399999999999E-2</v>
      </c>
      <c r="R35">
        <v>2.5437700000000001E-2</v>
      </c>
      <c r="S35">
        <v>2.6078500000000001E-2</v>
      </c>
      <c r="T35">
        <v>2.66792E-2</v>
      </c>
      <c r="U35">
        <v>2.68328E-2</v>
      </c>
      <c r="V35">
        <v>2.6020399999999999E-2</v>
      </c>
      <c r="W35">
        <v>2.51966E-2</v>
      </c>
      <c r="X35">
        <v>2.4452999999999999E-2</v>
      </c>
      <c r="Y35">
        <v>2.4523400000000001E-2</v>
      </c>
      <c r="Z35">
        <v>2.35631E-2</v>
      </c>
      <c r="AA35">
        <v>2.41549E-2</v>
      </c>
      <c r="AB35">
        <v>2.43705E-2</v>
      </c>
      <c r="AC35">
        <v>2.3933200000000002E-2</v>
      </c>
      <c r="AD35">
        <v>2.4596699999999999E-2</v>
      </c>
    </row>
    <row r="36" spans="1:30">
      <c r="A36">
        <v>145</v>
      </c>
      <c r="B36" t="s">
        <v>30</v>
      </c>
      <c r="C36" s="534">
        <v>7.6440000000000004E-4</v>
      </c>
      <c r="D36" s="534">
        <v>7.8830000000000002E-4</v>
      </c>
      <c r="E36" s="534">
        <v>8.185E-4</v>
      </c>
      <c r="F36" s="534">
        <v>8.0009999999999999E-4</v>
      </c>
      <c r="G36" s="534">
        <v>7.8919999999999999E-4</v>
      </c>
      <c r="H36" s="534">
        <v>7.8200000000000003E-4</v>
      </c>
      <c r="I36" s="534">
        <v>7.6469999999999999E-4</v>
      </c>
      <c r="J36" s="534">
        <v>7.8470000000000005E-4</v>
      </c>
      <c r="K36" s="534">
        <v>7.7139999999999999E-4</v>
      </c>
      <c r="L36" s="534">
        <v>7.9600000000000005E-4</v>
      </c>
      <c r="M36" s="534">
        <v>7.9670000000000001E-4</v>
      </c>
      <c r="N36">
        <v>8.4599999999999996E-4</v>
      </c>
      <c r="O36">
        <v>8.6169999999999997E-4</v>
      </c>
      <c r="P36">
        <v>8.7270000000000002E-4</v>
      </c>
      <c r="Q36">
        <v>8.5619999999999999E-4</v>
      </c>
      <c r="R36">
        <v>8.6379999999999996E-4</v>
      </c>
      <c r="S36">
        <v>9.1140000000000004E-4</v>
      </c>
      <c r="T36">
        <v>9.0919999999999998E-4</v>
      </c>
      <c r="U36">
        <v>9.3869999999999999E-4</v>
      </c>
      <c r="V36">
        <v>9.4149999999999995E-4</v>
      </c>
      <c r="W36">
        <v>9.4059999999999999E-4</v>
      </c>
      <c r="X36">
        <v>9.8029999999999992E-4</v>
      </c>
      <c r="Y36">
        <v>9.4910000000000003E-4</v>
      </c>
      <c r="Z36">
        <v>9.0339999999999995E-4</v>
      </c>
      <c r="AA36">
        <v>9.1779999999999997E-4</v>
      </c>
      <c r="AB36">
        <v>9.1180000000000005E-4</v>
      </c>
      <c r="AC36">
        <v>9.2719999999999999E-4</v>
      </c>
      <c r="AD36">
        <v>1.0495000000000001E-3</v>
      </c>
    </row>
    <row r="37" spans="1:30">
      <c r="A37">
        <v>150</v>
      </c>
      <c r="B37" t="s">
        <v>31</v>
      </c>
      <c r="C37" s="534">
        <v>3.3419999999999999E-4</v>
      </c>
      <c r="D37" s="534">
        <v>3.3409999999999999E-4</v>
      </c>
      <c r="E37" s="534">
        <v>3.4200000000000002E-4</v>
      </c>
      <c r="F37" s="534">
        <v>3.391E-4</v>
      </c>
      <c r="G37" s="534">
        <v>3.302E-4</v>
      </c>
      <c r="H37" s="534">
        <v>3.144E-4</v>
      </c>
      <c r="I37" s="534">
        <v>3.3700000000000001E-4</v>
      </c>
      <c r="J37" s="534">
        <v>3.4380000000000001E-4</v>
      </c>
      <c r="K37" s="534">
        <v>3.4670000000000002E-4</v>
      </c>
      <c r="L37" s="534">
        <v>3.5129999999999997E-4</v>
      </c>
      <c r="M37" s="534">
        <v>3.5930000000000001E-4</v>
      </c>
      <c r="N37">
        <v>3.9159999999999998E-4</v>
      </c>
      <c r="O37">
        <v>4.0329999999999999E-4</v>
      </c>
      <c r="P37">
        <v>4.1599999999999997E-4</v>
      </c>
      <c r="Q37">
        <v>4.2949999999999998E-4</v>
      </c>
      <c r="R37">
        <v>4.75E-4</v>
      </c>
      <c r="S37">
        <v>4.6490000000000002E-4</v>
      </c>
      <c r="T37">
        <v>4.7090000000000001E-4</v>
      </c>
      <c r="U37">
        <v>4.9180000000000003E-4</v>
      </c>
      <c r="V37">
        <v>5.0089999999999998E-4</v>
      </c>
      <c r="W37">
        <v>5.2369999999999999E-4</v>
      </c>
      <c r="X37">
        <v>5.1659999999999998E-4</v>
      </c>
      <c r="Y37">
        <v>5.1749999999999995E-4</v>
      </c>
      <c r="Z37">
        <v>5.0830000000000005E-4</v>
      </c>
      <c r="AA37">
        <v>4.7859999999999998E-4</v>
      </c>
      <c r="AB37">
        <v>4.4480000000000002E-4</v>
      </c>
      <c r="AC37">
        <v>4.4630000000000001E-4</v>
      </c>
      <c r="AD37">
        <v>4.4999999999999999E-4</v>
      </c>
    </row>
    <row r="38" spans="1:30">
      <c r="A38">
        <v>155</v>
      </c>
      <c r="B38" t="s">
        <v>32</v>
      </c>
      <c r="C38" s="534">
        <v>2.9979999999999998E-3</v>
      </c>
      <c r="D38" s="534">
        <v>3.0866999999999999E-3</v>
      </c>
      <c r="E38" s="534">
        <v>2.8073E-3</v>
      </c>
      <c r="F38" s="534">
        <v>2.9382000000000002E-3</v>
      </c>
      <c r="G38" s="534">
        <v>2.8427999999999999E-3</v>
      </c>
      <c r="H38" s="534">
        <v>2.6990999999999999E-3</v>
      </c>
      <c r="I38" s="534">
        <v>2.6943000000000002E-3</v>
      </c>
      <c r="J38" s="534">
        <v>2.6933999999999999E-3</v>
      </c>
      <c r="K38" s="534">
        <v>2.5156000000000002E-3</v>
      </c>
      <c r="L38" s="534">
        <v>2.5379999999999999E-3</v>
      </c>
      <c r="M38" s="534">
        <v>2.4769000000000002E-3</v>
      </c>
      <c r="N38">
        <v>2.6392999999999998E-3</v>
      </c>
      <c r="O38">
        <v>2.7404999999999999E-3</v>
      </c>
      <c r="P38">
        <v>2.7212E-3</v>
      </c>
      <c r="Q38">
        <v>2.8700000000000002E-3</v>
      </c>
      <c r="R38">
        <v>2.8855999999999999E-3</v>
      </c>
      <c r="S38">
        <v>2.9545999999999999E-3</v>
      </c>
      <c r="T38">
        <v>3.1732000000000002E-3</v>
      </c>
      <c r="U38">
        <v>3.1906E-3</v>
      </c>
      <c r="V38">
        <v>3.0230000000000001E-3</v>
      </c>
      <c r="W38">
        <v>3.1497000000000001E-3</v>
      </c>
      <c r="X38">
        <v>3.0325E-3</v>
      </c>
      <c r="Y38">
        <v>2.8934E-3</v>
      </c>
      <c r="Z38">
        <v>2.7357000000000002E-3</v>
      </c>
      <c r="AA38">
        <v>3.0408000000000002E-3</v>
      </c>
      <c r="AB38">
        <v>3.1545000000000002E-3</v>
      </c>
      <c r="AC38">
        <v>3.2082E-3</v>
      </c>
      <c r="AD38">
        <v>3.1070999999999998E-3</v>
      </c>
    </row>
    <row r="39" spans="1:30">
      <c r="A39">
        <v>160</v>
      </c>
      <c r="B39" t="s">
        <v>33</v>
      </c>
      <c r="C39" s="534">
        <v>6.522E-3</v>
      </c>
      <c r="D39" s="534">
        <v>6.5027000000000001E-3</v>
      </c>
      <c r="E39" s="534">
        <v>6.7968999999999998E-3</v>
      </c>
      <c r="F39" s="534">
        <v>6.3379999999999999E-3</v>
      </c>
      <c r="G39" s="534">
        <v>5.9532999999999999E-3</v>
      </c>
      <c r="H39" s="534">
        <v>5.6325999999999998E-3</v>
      </c>
      <c r="I39" s="534">
        <v>5.3242999999999997E-3</v>
      </c>
      <c r="J39" s="534">
        <v>5.4719E-3</v>
      </c>
      <c r="K39" s="534">
        <v>5.2905000000000001E-3</v>
      </c>
      <c r="L39" s="534">
        <v>5.3362000000000001E-3</v>
      </c>
      <c r="M39" s="534">
        <v>5.1069000000000002E-3</v>
      </c>
      <c r="N39">
        <v>5.4669000000000002E-3</v>
      </c>
      <c r="O39">
        <v>5.3667000000000003E-3</v>
      </c>
      <c r="P39">
        <v>5.3163000000000004E-3</v>
      </c>
      <c r="Q39">
        <v>5.5421999999999997E-3</v>
      </c>
      <c r="R39">
        <v>5.4818000000000002E-3</v>
      </c>
      <c r="S39">
        <v>5.6747999999999998E-3</v>
      </c>
      <c r="T39">
        <v>5.7153999999999998E-3</v>
      </c>
      <c r="U39">
        <v>5.8792000000000002E-3</v>
      </c>
      <c r="V39">
        <v>5.7756999999999999E-3</v>
      </c>
      <c r="W39">
        <v>5.6192999999999998E-3</v>
      </c>
      <c r="X39">
        <v>5.4955999999999998E-3</v>
      </c>
      <c r="Y39">
        <v>4.8441999999999999E-3</v>
      </c>
      <c r="Z39">
        <v>4.7846E-3</v>
      </c>
      <c r="AA39">
        <v>4.7971000000000003E-3</v>
      </c>
      <c r="AB39">
        <v>4.7910000000000001E-3</v>
      </c>
      <c r="AC39">
        <v>4.7499999999999999E-3</v>
      </c>
      <c r="AD39">
        <v>4.7209000000000001E-3</v>
      </c>
    </row>
    <row r="40" spans="1:30">
      <c r="A40">
        <v>165</v>
      </c>
      <c r="B40" t="s">
        <v>34</v>
      </c>
      <c r="C40" s="534">
        <v>6.2540000000000002E-4</v>
      </c>
      <c r="D40" s="534">
        <v>6.3290000000000004E-4</v>
      </c>
      <c r="E40" s="534">
        <v>6.3360000000000001E-4</v>
      </c>
      <c r="F40" s="534">
        <v>5.8900000000000001E-4</v>
      </c>
      <c r="G40" s="534">
        <v>5.5460000000000004E-4</v>
      </c>
      <c r="H40" s="534">
        <v>5.4730000000000002E-4</v>
      </c>
      <c r="I40" s="534">
        <v>5.398E-4</v>
      </c>
      <c r="J40" s="534">
        <v>5.2220000000000001E-4</v>
      </c>
      <c r="K40" s="534">
        <v>5.2059999999999997E-4</v>
      </c>
      <c r="L40" s="534">
        <v>5.262E-4</v>
      </c>
      <c r="M40" s="534">
        <v>4.9919999999999999E-4</v>
      </c>
      <c r="N40">
        <v>5.3390000000000002E-4</v>
      </c>
      <c r="O40">
        <v>5.3770000000000001E-4</v>
      </c>
      <c r="P40">
        <v>5.218E-4</v>
      </c>
      <c r="Q40">
        <v>5.2490000000000002E-4</v>
      </c>
      <c r="R40">
        <v>5.2760000000000003E-4</v>
      </c>
      <c r="S40">
        <v>5.1290000000000005E-4</v>
      </c>
      <c r="T40">
        <v>5.1270000000000005E-4</v>
      </c>
      <c r="U40">
        <v>5.2840000000000005E-4</v>
      </c>
      <c r="V40">
        <v>5.0639999999999995E-4</v>
      </c>
      <c r="W40">
        <v>5.1420000000000003E-4</v>
      </c>
      <c r="X40">
        <v>5.1349999999999996E-4</v>
      </c>
      <c r="Y40">
        <v>4.7390000000000003E-4</v>
      </c>
      <c r="Z40">
        <v>4.4640000000000001E-4</v>
      </c>
      <c r="AA40">
        <v>4.6349999999999999E-4</v>
      </c>
      <c r="AB40">
        <v>4.706E-4</v>
      </c>
      <c r="AC40">
        <v>4.5520000000000001E-4</v>
      </c>
      <c r="AD40">
        <v>4.7429999999999998E-4</v>
      </c>
    </row>
    <row r="41" spans="1:30">
      <c r="A41">
        <v>200</v>
      </c>
      <c r="B41" t="s">
        <v>35</v>
      </c>
      <c r="C41" s="534">
        <v>2.4910000000000002E-2</v>
      </c>
      <c r="D41" s="534">
        <v>2.4832900000000002E-2</v>
      </c>
      <c r="E41" s="534">
        <v>2.3438400000000002E-2</v>
      </c>
      <c r="F41" s="534">
        <v>2.33773E-2</v>
      </c>
      <c r="G41" s="534">
        <v>2.22895E-2</v>
      </c>
      <c r="H41" s="534">
        <v>2.3037100000000001E-2</v>
      </c>
      <c r="I41" s="534">
        <v>2.3479099999999999E-2</v>
      </c>
      <c r="J41" s="534">
        <v>2.4700900000000001E-2</v>
      </c>
      <c r="K41" s="534">
        <v>2.4348000000000002E-2</v>
      </c>
      <c r="L41" s="534">
        <v>2.5485600000000001E-2</v>
      </c>
      <c r="M41" s="534">
        <v>2.5290099999999999E-2</v>
      </c>
      <c r="N41">
        <v>2.6449799999999999E-2</v>
      </c>
      <c r="O41">
        <v>2.7476500000000001E-2</v>
      </c>
      <c r="P41">
        <v>2.5656000000000002E-2</v>
      </c>
      <c r="Q41">
        <v>2.47788E-2</v>
      </c>
      <c r="R41">
        <v>2.35146E-2</v>
      </c>
      <c r="S41">
        <v>2.3816400000000001E-2</v>
      </c>
      <c r="T41">
        <v>2.3646500000000001E-2</v>
      </c>
      <c r="U41">
        <v>2.3802400000000001E-2</v>
      </c>
      <c r="V41">
        <v>2.2539300000000002E-2</v>
      </c>
      <c r="W41">
        <v>2.2059599999999999E-2</v>
      </c>
      <c r="X41">
        <v>2.1316000000000002E-2</v>
      </c>
      <c r="Y41">
        <v>2.1007700000000001E-2</v>
      </c>
      <c r="Z41">
        <v>2.0574200000000001E-2</v>
      </c>
      <c r="AA41">
        <v>2.1150499999999999E-2</v>
      </c>
      <c r="AB41">
        <v>2.1977300000000002E-2</v>
      </c>
      <c r="AC41">
        <v>2.18718E-2</v>
      </c>
      <c r="AD41">
        <v>2.1157499999999999E-2</v>
      </c>
    </row>
    <row r="42" spans="1:30">
      <c r="A42">
        <v>205</v>
      </c>
      <c r="B42" t="s">
        <v>36</v>
      </c>
      <c r="C42" s="534">
        <v>5.6669999999999995E-4</v>
      </c>
      <c r="D42" s="534">
        <v>5.3070000000000005E-4</v>
      </c>
      <c r="E42" s="534">
        <v>5.6420000000000005E-4</v>
      </c>
      <c r="F42" s="534">
        <v>5.6910000000000001E-4</v>
      </c>
      <c r="G42" s="534">
        <v>4.9720000000000005E-4</v>
      </c>
      <c r="H42" s="534">
        <v>5.1579999999999996E-4</v>
      </c>
      <c r="I42" s="534">
        <v>5.2859999999999995E-4</v>
      </c>
      <c r="J42" s="534">
        <v>5.2800000000000004E-4</v>
      </c>
      <c r="K42" s="534">
        <v>4.9689999999999999E-4</v>
      </c>
      <c r="L42" s="534">
        <v>5.3220000000000003E-4</v>
      </c>
      <c r="M42" s="534">
        <v>5.4310000000000003E-4</v>
      </c>
      <c r="N42">
        <v>5.5250000000000004E-4</v>
      </c>
      <c r="O42">
        <v>5.8239999999999995E-4</v>
      </c>
      <c r="P42">
        <v>5.775E-4</v>
      </c>
      <c r="Q42">
        <v>5.9909999999999998E-4</v>
      </c>
      <c r="R42">
        <v>6.1140000000000001E-4</v>
      </c>
      <c r="S42">
        <v>6.2850000000000004E-4</v>
      </c>
      <c r="T42">
        <v>6.357E-4</v>
      </c>
      <c r="U42">
        <v>6.4110000000000002E-4</v>
      </c>
      <c r="V42">
        <v>6.068E-4</v>
      </c>
      <c r="W42">
        <v>5.6990000000000003E-4</v>
      </c>
      <c r="X42">
        <v>5.1500000000000005E-4</v>
      </c>
      <c r="Y42">
        <v>5.8319999999999997E-4</v>
      </c>
      <c r="Z42">
        <v>6.135E-4</v>
      </c>
      <c r="AA42">
        <v>5.7819999999999996E-4</v>
      </c>
      <c r="AB42">
        <v>5.9360000000000001E-4</v>
      </c>
      <c r="AC42">
        <v>6.1309999999999999E-4</v>
      </c>
      <c r="AD42">
        <v>6.3460000000000003E-4</v>
      </c>
    </row>
    <row r="43" spans="1:30">
      <c r="A43">
        <v>210</v>
      </c>
      <c r="B43" t="s">
        <v>37</v>
      </c>
      <c r="C43" s="534">
        <v>6.4570000000000001E-3</v>
      </c>
      <c r="D43" s="534">
        <v>6.0521000000000004E-3</v>
      </c>
      <c r="E43" s="534">
        <v>5.5094999999999996E-3</v>
      </c>
      <c r="F43" s="534">
        <v>5.5623000000000001E-3</v>
      </c>
      <c r="G43" s="534">
        <v>6.7244999999999996E-3</v>
      </c>
      <c r="H43" s="534">
        <v>6.4666999999999997E-3</v>
      </c>
      <c r="I43" s="534">
        <v>6.8517999999999999E-3</v>
      </c>
      <c r="J43" s="534">
        <v>6.7891000000000002E-3</v>
      </c>
      <c r="K43" s="534">
        <v>6.8535999999999996E-3</v>
      </c>
      <c r="L43" s="534">
        <v>7.1218999999999996E-3</v>
      </c>
      <c r="M43" s="534">
        <v>7.0228E-3</v>
      </c>
      <c r="N43">
        <v>7.3362999999999996E-3</v>
      </c>
      <c r="O43">
        <v>7.3988999999999999E-3</v>
      </c>
      <c r="P43">
        <v>7.3804999999999999E-3</v>
      </c>
      <c r="Q43">
        <v>7.3591000000000004E-3</v>
      </c>
      <c r="R43">
        <v>7.1568999999999999E-3</v>
      </c>
      <c r="S43">
        <v>7.2516000000000004E-3</v>
      </c>
      <c r="T43">
        <v>6.8792000000000002E-3</v>
      </c>
      <c r="U43">
        <v>6.9753000000000003E-3</v>
      </c>
      <c r="V43">
        <v>6.5764999999999999E-3</v>
      </c>
      <c r="W43">
        <v>6.3889000000000003E-3</v>
      </c>
      <c r="X43">
        <v>6.5447999999999999E-3</v>
      </c>
      <c r="Y43">
        <v>6.2560999999999997E-3</v>
      </c>
      <c r="Z43">
        <v>6.2858000000000002E-3</v>
      </c>
      <c r="AA43">
        <v>6.1963000000000001E-3</v>
      </c>
      <c r="AB43">
        <v>5.9251E-3</v>
      </c>
      <c r="AC43">
        <v>5.6233999999999998E-3</v>
      </c>
      <c r="AD43">
        <v>5.6462999999999999E-3</v>
      </c>
    </row>
    <row r="44" spans="1:30">
      <c r="A44">
        <v>211</v>
      </c>
      <c r="B44" t="s">
        <v>38</v>
      </c>
      <c r="C44" s="534">
        <v>6.3527999999999996E-3</v>
      </c>
      <c r="D44" s="534">
        <v>6.0742000000000001E-3</v>
      </c>
      <c r="E44" s="534">
        <v>5.4971999999999998E-3</v>
      </c>
      <c r="F44" s="534">
        <v>5.2496000000000001E-3</v>
      </c>
      <c r="G44" s="534">
        <v>6.0831000000000001E-3</v>
      </c>
      <c r="H44" s="534">
        <v>5.5725999999999996E-3</v>
      </c>
      <c r="I44" s="534">
        <v>5.6866E-3</v>
      </c>
      <c r="J44" s="534">
        <v>5.7365999999999997E-3</v>
      </c>
      <c r="K44" s="534">
        <v>5.6924999999999996E-3</v>
      </c>
      <c r="L44" s="534">
        <v>5.7759999999999999E-3</v>
      </c>
      <c r="M44" s="534">
        <v>5.8402999999999997E-3</v>
      </c>
      <c r="N44">
        <v>6.2810000000000001E-3</v>
      </c>
      <c r="O44">
        <v>5.8658E-3</v>
      </c>
      <c r="P44">
        <v>5.9483000000000001E-3</v>
      </c>
      <c r="Q44">
        <v>6.0273999999999996E-3</v>
      </c>
      <c r="R44">
        <v>5.9430999999999998E-3</v>
      </c>
      <c r="S44">
        <v>5.6760999999999999E-3</v>
      </c>
      <c r="T44">
        <v>5.4380000000000001E-3</v>
      </c>
      <c r="U44">
        <v>5.5808999999999997E-3</v>
      </c>
      <c r="V44">
        <v>5.5585000000000001E-3</v>
      </c>
      <c r="W44">
        <v>5.3822999999999996E-3</v>
      </c>
      <c r="X44">
        <v>5.1320000000000003E-3</v>
      </c>
      <c r="Y44">
        <v>5.1063999999999997E-3</v>
      </c>
      <c r="Z44">
        <v>4.9643999999999999E-3</v>
      </c>
      <c r="AA44">
        <v>4.7466000000000001E-3</v>
      </c>
      <c r="AB44">
        <v>4.3039999999999997E-3</v>
      </c>
      <c r="AC44">
        <v>4.2766000000000002E-3</v>
      </c>
      <c r="AD44">
        <v>3.8945999999999998E-3</v>
      </c>
    </row>
    <row r="45" spans="1:30">
      <c r="A45">
        <v>212</v>
      </c>
      <c r="B45" t="s">
        <v>39</v>
      </c>
      <c r="C45" s="534">
        <v>1.1274E-3</v>
      </c>
      <c r="D45" s="534">
        <v>9.4079999999999999E-4</v>
      </c>
      <c r="E45" s="534">
        <v>9.5009999999999995E-4</v>
      </c>
      <c r="F45" s="534">
        <v>8.6899999999999998E-4</v>
      </c>
      <c r="G45" s="534">
        <v>9.8219999999999991E-4</v>
      </c>
      <c r="H45" s="534">
        <v>9.4950000000000004E-4</v>
      </c>
      <c r="I45" s="534">
        <v>9.0200000000000002E-4</v>
      </c>
      <c r="J45" s="534">
        <v>7.9440000000000001E-4</v>
      </c>
      <c r="K45" s="534">
        <v>8.2950000000000005E-4</v>
      </c>
      <c r="L45" s="534">
        <v>8.4099999999999995E-4</v>
      </c>
      <c r="M45" s="534">
        <v>7.6840000000000003E-4</v>
      </c>
      <c r="N45">
        <v>8.2479999999999999E-4</v>
      </c>
      <c r="O45">
        <v>7.7039999999999997E-4</v>
      </c>
      <c r="P45">
        <v>8.1559999999999998E-4</v>
      </c>
      <c r="Q45">
        <v>7.6710000000000005E-4</v>
      </c>
      <c r="R45">
        <v>6.4409999999999999E-4</v>
      </c>
      <c r="S45">
        <v>6.2E-4</v>
      </c>
      <c r="T45">
        <v>6.0090000000000002E-4</v>
      </c>
      <c r="U45">
        <v>5.9679999999999998E-4</v>
      </c>
      <c r="V45">
        <v>6.1229999999999998E-4</v>
      </c>
      <c r="W45">
        <v>5.6720000000000002E-4</v>
      </c>
      <c r="X45">
        <v>5.9840000000000002E-4</v>
      </c>
      <c r="Y45">
        <v>5.6990000000000003E-4</v>
      </c>
      <c r="Z45">
        <v>5.3149999999999996E-4</v>
      </c>
      <c r="AA45">
        <v>4.9350000000000002E-4</v>
      </c>
      <c r="AB45">
        <v>3.9760000000000002E-4</v>
      </c>
      <c r="AC45">
        <v>4.5029999999999999E-4</v>
      </c>
      <c r="AD45">
        <v>4.284E-4</v>
      </c>
    </row>
    <row r="46" spans="1:30">
      <c r="A46">
        <v>220</v>
      </c>
      <c r="B46" t="s">
        <v>40</v>
      </c>
      <c r="C46" s="534">
        <v>2.3851600000000001E-2</v>
      </c>
      <c r="D46" s="534">
        <v>2.1866699999999999E-2</v>
      </c>
      <c r="E46" s="534">
        <v>2.0164499999999998E-2</v>
      </c>
      <c r="F46" s="534">
        <v>1.9220999999999999E-2</v>
      </c>
      <c r="G46" s="534">
        <v>2.0891699999999999E-2</v>
      </c>
      <c r="H46" s="534">
        <v>1.9946800000000001E-2</v>
      </c>
      <c r="I46" s="534">
        <v>2.0588599999999999E-2</v>
      </c>
      <c r="J46" s="534">
        <v>2.06807E-2</v>
      </c>
      <c r="K46" s="534">
        <v>2.061E-2</v>
      </c>
      <c r="L46" s="534">
        <v>2.0935700000000002E-2</v>
      </c>
      <c r="M46" s="534">
        <v>2.2123199999999999E-2</v>
      </c>
      <c r="N46">
        <v>2.3472400000000001E-2</v>
      </c>
      <c r="O46">
        <v>2.3531099999999999E-2</v>
      </c>
      <c r="P46">
        <v>2.38955E-2</v>
      </c>
      <c r="Q46">
        <v>2.4766400000000001E-2</v>
      </c>
      <c r="R46">
        <v>2.5018499999999999E-2</v>
      </c>
      <c r="S46">
        <v>2.4938700000000001E-2</v>
      </c>
      <c r="T46">
        <v>2.3835599999999998E-2</v>
      </c>
      <c r="U46">
        <v>2.3975099999999999E-2</v>
      </c>
      <c r="V46">
        <v>2.2811600000000001E-2</v>
      </c>
      <c r="W46">
        <v>2.0735E-2</v>
      </c>
      <c r="X46">
        <v>1.9789899999999999E-2</v>
      </c>
      <c r="Y46">
        <v>1.99848E-2</v>
      </c>
      <c r="Z46">
        <v>2.0272399999999999E-2</v>
      </c>
      <c r="AA46">
        <v>2.0423799999999999E-2</v>
      </c>
      <c r="AB46">
        <v>1.9972799999999999E-2</v>
      </c>
      <c r="AC46">
        <v>1.9237400000000002E-2</v>
      </c>
      <c r="AD46">
        <v>1.8923700000000002E-2</v>
      </c>
    </row>
    <row r="47" spans="1:30" s="21" customFormat="1">
      <c r="A47">
        <v>221</v>
      </c>
      <c r="B47" t="s">
        <v>41</v>
      </c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P47" s="23">
        <v>4.33E-6</v>
      </c>
      <c r="Q47" s="23">
        <v>3.5099999999999999E-6</v>
      </c>
      <c r="R47" s="23">
        <v>3.6500000000000002E-6</v>
      </c>
      <c r="S47" s="23">
        <v>3.7799999999999998E-6</v>
      </c>
      <c r="T47" s="23">
        <v>3.6200000000000001E-6</v>
      </c>
      <c r="U47" s="23">
        <v>3.8399999999999997E-6</v>
      </c>
      <c r="V47" s="23">
        <v>3.7100000000000001E-6</v>
      </c>
      <c r="W47" s="23">
        <v>3.7699999999999999E-6</v>
      </c>
      <c r="X47" s="23">
        <v>3.45E-6</v>
      </c>
      <c r="Y47" s="23">
        <v>3.4000000000000001E-6</v>
      </c>
      <c r="Z47" s="23">
        <v>3.3799999999999998E-6</v>
      </c>
      <c r="AA47" s="23">
        <v>3.2600000000000001E-6</v>
      </c>
      <c r="AB47" s="23">
        <v>3.1499999999999999E-6</v>
      </c>
      <c r="AC47" s="23">
        <v>3.1200000000000002E-6</v>
      </c>
      <c r="AD47" s="23">
        <v>2.9900000000000002E-6</v>
      </c>
    </row>
    <row r="48" spans="1:30">
      <c r="A48">
        <v>223</v>
      </c>
      <c r="B48" t="s">
        <v>42</v>
      </c>
      <c r="M48" s="23">
        <v>1.73E-6</v>
      </c>
      <c r="N48" s="23">
        <v>1.9700000000000002E-6</v>
      </c>
      <c r="O48" s="23">
        <v>1.81E-6</v>
      </c>
      <c r="P48" s="23">
        <v>1.8300000000000001E-6</v>
      </c>
      <c r="Q48" s="23">
        <v>1.9E-6</v>
      </c>
      <c r="R48" s="23">
        <v>1.86E-6</v>
      </c>
      <c r="S48" s="23">
        <v>1.8300000000000001E-6</v>
      </c>
      <c r="T48" s="23">
        <v>1.8199999999999999E-6</v>
      </c>
      <c r="U48" s="23">
        <v>1.8300000000000001E-6</v>
      </c>
      <c r="V48" s="23">
        <v>1.9800000000000001E-6</v>
      </c>
      <c r="W48" s="23">
        <v>1.9800000000000001E-6</v>
      </c>
      <c r="X48" s="23">
        <v>1.8199999999999999E-6</v>
      </c>
      <c r="Y48" s="23">
        <v>1.81E-6</v>
      </c>
      <c r="Z48" s="23">
        <v>1.7600000000000001E-6</v>
      </c>
      <c r="AA48" s="23">
        <v>1.73E-6</v>
      </c>
      <c r="AB48" s="23">
        <v>1.73E-6</v>
      </c>
      <c r="AC48" s="23">
        <v>1.7400000000000001E-6</v>
      </c>
      <c r="AD48" s="23">
        <v>1.68E-6</v>
      </c>
    </row>
    <row r="49" spans="1:30">
      <c r="A49">
        <v>225</v>
      </c>
      <c r="B49" t="s">
        <v>43</v>
      </c>
      <c r="C49" s="534">
        <v>1.5713000000000001E-3</v>
      </c>
      <c r="D49" s="534">
        <v>1.4924000000000001E-3</v>
      </c>
      <c r="E49" s="534">
        <v>1.4695999999999999E-3</v>
      </c>
      <c r="F49" s="534">
        <v>1.4748999999999999E-3</v>
      </c>
      <c r="G49" s="534">
        <v>1.4031E-3</v>
      </c>
      <c r="H49" s="534">
        <v>1.4322E-3</v>
      </c>
      <c r="I49" s="534">
        <v>1.5003E-3</v>
      </c>
      <c r="J49" s="534">
        <v>1.5001999999999999E-3</v>
      </c>
      <c r="K49" s="534">
        <v>1.6006E-3</v>
      </c>
      <c r="L49" s="534">
        <v>1.5521000000000001E-3</v>
      </c>
      <c r="M49" s="534">
        <v>1.6969000000000001E-3</v>
      </c>
      <c r="N49">
        <v>1.7099000000000001E-3</v>
      </c>
      <c r="O49">
        <v>1.8060999999999999E-3</v>
      </c>
      <c r="P49">
        <v>1.9894999999999999E-3</v>
      </c>
      <c r="Q49">
        <v>1.9492999999999999E-3</v>
      </c>
      <c r="R49">
        <v>1.9851000000000001E-3</v>
      </c>
      <c r="S49">
        <v>1.9128000000000001E-3</v>
      </c>
      <c r="T49">
        <v>1.7661E-3</v>
      </c>
      <c r="U49">
        <v>1.7473E-3</v>
      </c>
      <c r="V49">
        <v>1.6478E-3</v>
      </c>
      <c r="W49">
        <v>1.5234000000000001E-3</v>
      </c>
      <c r="X49">
        <v>1.4480999999999999E-3</v>
      </c>
      <c r="Y49">
        <v>1.4436E-3</v>
      </c>
      <c r="Z49">
        <v>1.4203E-3</v>
      </c>
      <c r="AA49">
        <v>1.2841E-3</v>
      </c>
      <c r="AB49">
        <v>1.1915999999999999E-3</v>
      </c>
      <c r="AC49">
        <v>1.14E-3</v>
      </c>
      <c r="AD49">
        <v>1.083E-3</v>
      </c>
    </row>
    <row r="50" spans="1:30">
      <c r="A50">
        <v>230</v>
      </c>
      <c r="B50" t="s">
        <v>44</v>
      </c>
      <c r="C50" s="534">
        <v>1.1723900000000001E-2</v>
      </c>
      <c r="D50" s="534">
        <v>1.19135E-2</v>
      </c>
      <c r="E50" s="534">
        <v>1.2135200000000001E-2</v>
      </c>
      <c r="F50" s="534">
        <v>1.16647E-2</v>
      </c>
      <c r="G50" s="534">
        <v>1.21686E-2</v>
      </c>
      <c r="H50" s="534">
        <v>1.20448E-2</v>
      </c>
      <c r="I50" s="534">
        <v>1.13767E-2</v>
      </c>
      <c r="J50" s="534">
        <v>1.1323E-2</v>
      </c>
      <c r="K50" s="534">
        <v>1.12859E-2</v>
      </c>
      <c r="L50" s="534">
        <v>1.1796900000000001E-2</v>
      </c>
      <c r="M50" s="534">
        <v>1.1824599999999999E-2</v>
      </c>
      <c r="N50">
        <v>1.22554E-2</v>
      </c>
      <c r="O50">
        <v>1.19241E-2</v>
      </c>
      <c r="P50">
        <v>1.1856200000000001E-2</v>
      </c>
      <c r="Q50">
        <v>1.18037E-2</v>
      </c>
      <c r="R50">
        <v>1.18739E-2</v>
      </c>
      <c r="S50">
        <v>1.12359E-2</v>
      </c>
      <c r="T50">
        <v>1.11044E-2</v>
      </c>
      <c r="U50">
        <v>1.1468799999999999E-2</v>
      </c>
      <c r="V50">
        <v>1.11159E-2</v>
      </c>
      <c r="W50">
        <v>1.0982199999999999E-2</v>
      </c>
      <c r="X50">
        <v>1.0840900000000001E-2</v>
      </c>
      <c r="Y50">
        <v>1.14704E-2</v>
      </c>
      <c r="Z50">
        <v>1.102E-2</v>
      </c>
      <c r="AA50">
        <v>1.13157E-2</v>
      </c>
      <c r="AB50">
        <v>1.1416300000000001E-2</v>
      </c>
      <c r="AC50">
        <v>1.1347299999999999E-2</v>
      </c>
      <c r="AD50">
        <v>1.13889E-2</v>
      </c>
    </row>
    <row r="51" spans="1:30" s="21" customFormat="1">
      <c r="A51">
        <v>232</v>
      </c>
      <c r="B51" t="s">
        <v>45</v>
      </c>
      <c r="C51" s="534"/>
      <c r="D51" s="534"/>
      <c r="E51" s="534"/>
      <c r="F51" s="534"/>
      <c r="G51" s="534"/>
      <c r="H51" s="534"/>
      <c r="I51" s="534"/>
      <c r="J51" s="534"/>
      <c r="K51" s="534"/>
      <c r="L51" s="534"/>
      <c r="M51" s="534"/>
      <c r="P51" s="23">
        <v>2.3E-6</v>
      </c>
      <c r="Q51" s="23">
        <v>1.95E-6</v>
      </c>
      <c r="R51" s="23">
        <v>2.4399999999999999E-6</v>
      </c>
      <c r="S51" s="23">
        <v>2.48E-6</v>
      </c>
      <c r="T51" s="23">
        <v>2.5299999999999999E-6</v>
      </c>
      <c r="U51" s="23">
        <v>2.4600000000000002E-6</v>
      </c>
      <c r="V51" s="23">
        <v>2.52E-6</v>
      </c>
      <c r="W51" s="23">
        <v>2.57E-6</v>
      </c>
      <c r="X51" s="23">
        <v>2.2500000000000001E-6</v>
      </c>
      <c r="Y51" s="23">
        <v>2.2299999999999998E-6</v>
      </c>
      <c r="Z51" s="23">
        <v>2.3199999999999998E-6</v>
      </c>
      <c r="AA51" s="23">
        <v>2.4399999999999999E-6</v>
      </c>
      <c r="AB51" s="23">
        <v>2.5100000000000001E-6</v>
      </c>
      <c r="AC51" s="23">
        <v>2.5100000000000001E-6</v>
      </c>
      <c r="AD51" s="23">
        <v>2.5799999999999999E-6</v>
      </c>
    </row>
    <row r="52" spans="1:30">
      <c r="A52">
        <v>235</v>
      </c>
      <c r="B52" t="s">
        <v>46</v>
      </c>
      <c r="C52" s="534">
        <v>1.7101E-3</v>
      </c>
      <c r="D52" s="534">
        <v>1.6025E-3</v>
      </c>
      <c r="E52" s="534">
        <v>1.6519E-3</v>
      </c>
      <c r="F52" s="534">
        <v>1.6703E-3</v>
      </c>
      <c r="G52" s="534">
        <v>1.6102E-3</v>
      </c>
      <c r="H52" s="534">
        <v>1.7791E-3</v>
      </c>
      <c r="I52" s="534">
        <v>1.7744E-3</v>
      </c>
      <c r="J52" s="534">
        <v>1.8464E-3</v>
      </c>
      <c r="K52" s="534">
        <v>1.8518E-3</v>
      </c>
      <c r="L52" s="534">
        <v>2.0584000000000002E-3</v>
      </c>
      <c r="M52" s="534">
        <v>1.9384999999999999E-3</v>
      </c>
      <c r="N52">
        <v>1.8821E-3</v>
      </c>
      <c r="O52">
        <v>2.1226999999999999E-3</v>
      </c>
      <c r="P52">
        <v>2.0991999999999999E-3</v>
      </c>
      <c r="Q52">
        <v>2.5444E-3</v>
      </c>
      <c r="R52">
        <v>2.3058000000000002E-3</v>
      </c>
      <c r="S52">
        <v>2.1974E-3</v>
      </c>
      <c r="T52">
        <v>2.1811000000000001E-3</v>
      </c>
      <c r="U52">
        <v>2.2122000000000001E-3</v>
      </c>
      <c r="V52">
        <v>2.2583E-3</v>
      </c>
      <c r="W52">
        <v>1.9729000000000001E-3</v>
      </c>
      <c r="X52">
        <v>1.8969E-3</v>
      </c>
      <c r="Y52">
        <v>1.8112E-3</v>
      </c>
      <c r="Z52">
        <v>1.53794E-2</v>
      </c>
      <c r="AA52">
        <v>1.9530999999999999E-3</v>
      </c>
      <c r="AB52">
        <v>1.9880000000000002E-3</v>
      </c>
      <c r="AC52">
        <v>1.9315999999999999E-3</v>
      </c>
      <c r="AD52">
        <v>1.8412999999999999E-3</v>
      </c>
    </row>
    <row r="53" spans="1:30">
      <c r="A53">
        <v>255</v>
      </c>
      <c r="B53" t="s">
        <v>47</v>
      </c>
      <c r="C53" s="534">
        <v>3.1968900000000001E-2</v>
      </c>
      <c r="D53" s="534">
        <v>2.9308899999999999E-2</v>
      </c>
      <c r="E53" s="534">
        <v>2.80878E-2</v>
      </c>
      <c r="F53" s="534">
        <v>2.7415200000000001E-2</v>
      </c>
      <c r="G53" s="534">
        <v>2.8416500000000001E-2</v>
      </c>
      <c r="H53" s="534">
        <v>2.7657600000000001E-2</v>
      </c>
      <c r="I53" s="534">
        <v>2.7557100000000001E-2</v>
      </c>
      <c r="J53" s="534">
        <v>2.7392799999999998E-2</v>
      </c>
      <c r="K53" s="534">
        <v>2.7776800000000001E-2</v>
      </c>
      <c r="L53" s="534">
        <v>2.8475E-2</v>
      </c>
      <c r="M53" s="534">
        <v>2.4417500000000002E-2</v>
      </c>
      <c r="N53">
        <v>3.28156E-2</v>
      </c>
      <c r="O53">
        <v>3.3026E-2</v>
      </c>
      <c r="P53">
        <v>3.3115199999999997E-2</v>
      </c>
      <c r="Q53">
        <v>3.25784E-2</v>
      </c>
      <c r="R53">
        <v>3.3006199999999999E-2</v>
      </c>
      <c r="S53">
        <v>3.22396E-2</v>
      </c>
      <c r="T53">
        <v>3.11991E-2</v>
      </c>
      <c r="U53">
        <v>3.1471399999999997E-2</v>
      </c>
      <c r="V53">
        <v>2.9901199999999999E-2</v>
      </c>
      <c r="W53">
        <v>2.81456E-2</v>
      </c>
      <c r="X53">
        <v>2.8244999999999999E-2</v>
      </c>
      <c r="Y53">
        <v>2.7810399999999999E-2</v>
      </c>
      <c r="Z53">
        <v>2.71045E-2</v>
      </c>
      <c r="AA53">
        <v>2.6612199999999999E-2</v>
      </c>
      <c r="AB53">
        <v>2.5789699999999999E-2</v>
      </c>
      <c r="AC53">
        <v>2.49687E-2</v>
      </c>
      <c r="AD53">
        <v>2.4081499999999999E-2</v>
      </c>
    </row>
    <row r="54" spans="1:30" s="534" customFormat="1">
      <c r="A54" s="534">
        <v>265</v>
      </c>
      <c r="B54" s="534" t="s">
        <v>403</v>
      </c>
      <c r="C54" s="534">
        <v>9.1138E-3</v>
      </c>
      <c r="D54" s="534">
        <v>9.1921999999999993E-3</v>
      </c>
      <c r="E54" s="534">
        <v>9.3282E-3</v>
      </c>
      <c r="F54" s="534">
        <v>9.3019999999999995E-3</v>
      </c>
      <c r="G54" s="534">
        <v>8.7490999999999992E-3</v>
      </c>
      <c r="H54" s="534">
        <v>9.1864000000000008E-3</v>
      </c>
      <c r="I54" s="534">
        <v>9.2090999999999996E-3</v>
      </c>
      <c r="J54" s="534">
        <v>9.4216999999999999E-3</v>
      </c>
      <c r="K54" s="534">
        <v>9.2113000000000004E-3</v>
      </c>
      <c r="L54" s="534">
        <v>9.9469999999999992E-3</v>
      </c>
      <c r="M54" s="534">
        <v>6.5017E-3</v>
      </c>
    </row>
    <row r="55" spans="1:30">
      <c r="A55">
        <v>290</v>
      </c>
      <c r="B55" t="s">
        <v>48</v>
      </c>
      <c r="C55" s="534">
        <v>1.6227800000000001E-2</v>
      </c>
      <c r="D55" s="534">
        <v>1.5251000000000001E-2</v>
      </c>
      <c r="E55" s="534">
        <v>1.5664000000000001E-2</v>
      </c>
      <c r="F55" s="534">
        <v>1.57092E-2</v>
      </c>
      <c r="G55" s="534">
        <v>1.51652E-2</v>
      </c>
      <c r="H55" s="534">
        <v>1.40681E-2</v>
      </c>
      <c r="I55" s="534">
        <v>1.44052E-2</v>
      </c>
      <c r="J55" s="534">
        <v>1.3621899999999999E-2</v>
      </c>
      <c r="K55" s="534">
        <v>1.21759E-2</v>
      </c>
      <c r="L55" s="534">
        <v>1.1616400000000001E-2</v>
      </c>
      <c r="M55" s="534">
        <v>1.03135E-2</v>
      </c>
      <c r="N55">
        <v>9.7754000000000001E-3</v>
      </c>
      <c r="O55">
        <v>9.3895000000000003E-3</v>
      </c>
      <c r="P55">
        <v>9.3560999999999991E-3</v>
      </c>
      <c r="Q55">
        <v>9.3334000000000004E-3</v>
      </c>
      <c r="R55">
        <v>9.4313999999999995E-3</v>
      </c>
      <c r="S55">
        <v>9.1354000000000001E-3</v>
      </c>
      <c r="T55">
        <v>8.9709999999999998E-3</v>
      </c>
      <c r="U55">
        <v>8.6931999999999999E-3</v>
      </c>
      <c r="V55">
        <v>7.9170000000000004E-3</v>
      </c>
      <c r="W55">
        <v>8.1975999999999993E-3</v>
      </c>
      <c r="X55">
        <v>7.8420999999999994E-3</v>
      </c>
      <c r="Y55">
        <v>7.2316999999999998E-3</v>
      </c>
      <c r="Z55">
        <v>7.0843E-3</v>
      </c>
      <c r="AA55">
        <v>7.0501000000000001E-3</v>
      </c>
      <c r="AB55">
        <v>6.6861999999999998E-3</v>
      </c>
      <c r="AC55">
        <v>6.8477E-3</v>
      </c>
      <c r="AD55">
        <v>6.9388999999999996E-3</v>
      </c>
    </row>
    <row r="56" spans="1:30">
      <c r="A56">
        <v>305</v>
      </c>
      <c r="B56" t="s">
        <v>49</v>
      </c>
      <c r="C56" s="534">
        <v>2.7046000000000001E-3</v>
      </c>
      <c r="D56" s="534">
        <v>2.6665E-3</v>
      </c>
      <c r="E56" s="534">
        <v>2.6381999999999998E-3</v>
      </c>
      <c r="F56" s="534">
        <v>2.6779E-3</v>
      </c>
      <c r="G56" s="534">
        <v>2.7079000000000001E-3</v>
      </c>
      <c r="H56" s="534">
        <v>2.6546999999999999E-3</v>
      </c>
      <c r="I56" s="534">
        <v>2.5734E-3</v>
      </c>
      <c r="J56" s="534">
        <v>2.7493000000000001E-3</v>
      </c>
      <c r="K56" s="534">
        <v>2.6091E-3</v>
      </c>
      <c r="L56" s="534">
        <v>2.5934999999999999E-3</v>
      </c>
      <c r="M56" s="534">
        <v>2.4639000000000002E-3</v>
      </c>
      <c r="N56">
        <v>2.8072000000000001E-3</v>
      </c>
      <c r="O56">
        <v>2.5948999999999998E-3</v>
      </c>
      <c r="P56">
        <v>2.6507000000000002E-3</v>
      </c>
      <c r="Q56">
        <v>2.5769999999999999E-3</v>
      </c>
      <c r="R56">
        <v>2.8132999999999999E-3</v>
      </c>
      <c r="S56">
        <v>2.6873000000000001E-3</v>
      </c>
      <c r="T56">
        <v>2.7317999999999999E-3</v>
      </c>
      <c r="U56">
        <v>2.8846000000000002E-3</v>
      </c>
      <c r="V56">
        <v>2.7039E-3</v>
      </c>
      <c r="W56">
        <v>2.6029999999999998E-3</v>
      </c>
      <c r="X56">
        <v>2.5482E-3</v>
      </c>
      <c r="Y56">
        <v>2.5438000000000001E-3</v>
      </c>
      <c r="Z56">
        <v>2.5458999999999998E-3</v>
      </c>
      <c r="AA56">
        <v>2.5200000000000001E-3</v>
      </c>
      <c r="AB56">
        <v>2.5679000000000001E-3</v>
      </c>
      <c r="AC56">
        <v>2.5030999999999999E-3</v>
      </c>
      <c r="AD56">
        <v>2.5715E-3</v>
      </c>
    </row>
    <row r="57" spans="1:30">
      <c r="A57">
        <v>310</v>
      </c>
      <c r="B57" t="s">
        <v>50</v>
      </c>
      <c r="C57" s="534">
        <v>3.9857E-3</v>
      </c>
      <c r="D57" s="534">
        <v>3.9569999999999996E-3</v>
      </c>
      <c r="E57" s="534">
        <v>4.0070000000000001E-3</v>
      </c>
      <c r="F57" s="534">
        <v>3.9151999999999998E-3</v>
      </c>
      <c r="G57" s="534">
        <v>3.5604E-3</v>
      </c>
      <c r="H57" s="534">
        <v>3.5503000000000002E-3</v>
      </c>
      <c r="I57" s="534">
        <v>3.6821000000000002E-3</v>
      </c>
      <c r="J57" s="534">
        <v>3.5953999999999999E-3</v>
      </c>
      <c r="K57" s="534">
        <v>3.0200000000000001E-3</v>
      </c>
      <c r="L57" s="534">
        <v>3.0490000000000001E-3</v>
      </c>
      <c r="M57" s="534">
        <v>2.6443999999999999E-3</v>
      </c>
      <c r="N57">
        <v>2.4830999999999998E-3</v>
      </c>
      <c r="O57">
        <v>2.2292000000000002E-3</v>
      </c>
      <c r="P57">
        <v>2.1632999999999999E-3</v>
      </c>
      <c r="Q57">
        <v>2.1277000000000002E-3</v>
      </c>
      <c r="R57">
        <v>2.0736000000000001E-3</v>
      </c>
      <c r="S57">
        <v>2.0409999999999998E-3</v>
      </c>
      <c r="T57">
        <v>1.9369999999999999E-3</v>
      </c>
      <c r="U57">
        <v>1.9115E-3</v>
      </c>
      <c r="V57">
        <v>1.957E-3</v>
      </c>
      <c r="W57">
        <v>1.8469999999999999E-3</v>
      </c>
      <c r="X57">
        <v>1.8305999999999999E-3</v>
      </c>
      <c r="Y57">
        <v>1.8342E-3</v>
      </c>
      <c r="Z57">
        <v>1.81E-3</v>
      </c>
      <c r="AA57">
        <v>1.7277E-3</v>
      </c>
      <c r="AB57">
        <v>1.7378999999999999E-3</v>
      </c>
      <c r="AC57">
        <v>1.6517999999999999E-3</v>
      </c>
      <c r="AD57">
        <v>1.6075E-3</v>
      </c>
    </row>
    <row r="58" spans="1:30">
      <c r="A58">
        <v>315</v>
      </c>
      <c r="B58" t="s">
        <v>198</v>
      </c>
      <c r="C58" s="534">
        <v>9.0121000000000003E-3</v>
      </c>
      <c r="D58" s="534">
        <v>9.0843E-3</v>
      </c>
      <c r="E58" s="534">
        <v>9.3878999999999994E-3</v>
      </c>
      <c r="F58" s="534">
        <v>9.3115000000000003E-3</v>
      </c>
      <c r="G58" s="534">
        <v>8.9327999999999994E-3</v>
      </c>
      <c r="H58" s="534">
        <v>8.8921E-3</v>
      </c>
      <c r="I58" s="534">
        <v>8.8261999999999993E-3</v>
      </c>
      <c r="J58" s="534">
        <v>8.8045999999999992E-3</v>
      </c>
      <c r="K58" s="534">
        <v>8.3885999999999995E-3</v>
      </c>
      <c r="L58" s="534">
        <v>8.1963000000000001E-3</v>
      </c>
      <c r="M58" s="534">
        <v>7.7647999999999997E-3</v>
      </c>
      <c r="N58">
        <v>6.4177000000000001E-3</v>
      </c>
      <c r="O58">
        <v>3.8603999999999999E-3</v>
      </c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s="21" customFormat="1">
      <c r="A59" s="21">
        <v>316</v>
      </c>
      <c r="B59" s="21" t="s">
        <v>51</v>
      </c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P59" s="21">
        <v>3.8205000000000001E-3</v>
      </c>
      <c r="Q59">
        <v>3.6654999999999999E-3</v>
      </c>
      <c r="R59">
        <v>3.5330000000000001E-3</v>
      </c>
      <c r="S59">
        <v>3.3854000000000002E-3</v>
      </c>
      <c r="T59">
        <v>3.2179999999999999E-3</v>
      </c>
      <c r="U59">
        <v>3.2398000000000001E-3</v>
      </c>
      <c r="V59">
        <v>2.9150000000000001E-3</v>
      </c>
      <c r="W59">
        <v>2.9743999999999999E-3</v>
      </c>
      <c r="X59">
        <v>2.9721000000000001E-3</v>
      </c>
      <c r="Y59">
        <v>2.9577000000000002E-3</v>
      </c>
      <c r="Z59">
        <v>2.9499999999999999E-3</v>
      </c>
      <c r="AA59">
        <v>2.7114999999999999E-3</v>
      </c>
      <c r="AB59">
        <v>2.3955999999999999E-3</v>
      </c>
      <c r="AC59">
        <v>2.4044000000000001E-3</v>
      </c>
      <c r="AD59">
        <v>2.3530999999999999E-3</v>
      </c>
    </row>
    <row r="60" spans="1:30" s="21" customFormat="1">
      <c r="A60">
        <v>317</v>
      </c>
      <c r="B60" t="s">
        <v>52</v>
      </c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P60">
        <v>1.8425E-3</v>
      </c>
      <c r="Q60" s="21">
        <v>1.9354999999999999E-3</v>
      </c>
      <c r="R60" s="21">
        <v>1.9620000000000002E-3</v>
      </c>
      <c r="S60" s="21">
        <v>1.8112E-3</v>
      </c>
      <c r="T60" s="21">
        <v>1.7784999999999999E-3</v>
      </c>
      <c r="U60" s="21">
        <v>1.6812999999999999E-3</v>
      </c>
      <c r="V60" s="21">
        <v>1.7080999999999999E-3</v>
      </c>
      <c r="W60" s="21">
        <v>1.7061000000000001E-3</v>
      </c>
      <c r="X60" s="21">
        <v>1.8276E-3</v>
      </c>
      <c r="Y60" s="21">
        <v>1.673E-3</v>
      </c>
      <c r="Z60" s="21">
        <v>1.6279000000000001E-3</v>
      </c>
      <c r="AA60" s="21">
        <v>1.5211000000000001E-3</v>
      </c>
      <c r="AB60" s="21">
        <v>1.4962E-3</v>
      </c>
      <c r="AC60" s="21">
        <v>1.5226E-3</v>
      </c>
      <c r="AD60" s="21">
        <v>1.4329E-3</v>
      </c>
    </row>
    <row r="61" spans="1:30">
      <c r="A61">
        <v>325</v>
      </c>
      <c r="B61" t="s">
        <v>53</v>
      </c>
      <c r="C61" s="534">
        <v>1.97606E-2</v>
      </c>
      <c r="D61" s="534">
        <v>1.8641499999999998E-2</v>
      </c>
      <c r="E61" s="534">
        <v>1.8865199999999999E-2</v>
      </c>
      <c r="F61" s="534">
        <v>1.76867E-2</v>
      </c>
      <c r="G61" s="534">
        <v>1.9735900000000001E-2</v>
      </c>
      <c r="H61" s="534">
        <v>1.9241000000000001E-2</v>
      </c>
      <c r="I61" s="534">
        <v>1.9259700000000001E-2</v>
      </c>
      <c r="J61" s="534">
        <v>1.9124499999999999E-2</v>
      </c>
      <c r="K61" s="534">
        <v>1.9074299999999999E-2</v>
      </c>
      <c r="L61" s="534">
        <v>2.0176300000000001E-2</v>
      </c>
      <c r="M61" s="534">
        <v>2.0238599999999999E-2</v>
      </c>
      <c r="N61">
        <v>2.1277399999999998E-2</v>
      </c>
      <c r="O61">
        <v>2.1519400000000001E-2</v>
      </c>
      <c r="P61">
        <v>2.17223E-2</v>
      </c>
      <c r="Q61" s="21">
        <v>2.0057599999999998E-2</v>
      </c>
      <c r="R61" s="21">
        <v>2.0699599999999999E-2</v>
      </c>
      <c r="S61" s="21">
        <v>2.0623699999999998E-2</v>
      </c>
      <c r="T61" s="21">
        <v>2.0575099999999999E-2</v>
      </c>
      <c r="U61" s="21">
        <v>2.11632E-2</v>
      </c>
      <c r="V61" s="21">
        <v>2.04668E-2</v>
      </c>
      <c r="W61" s="21">
        <v>1.8858799999999998E-2</v>
      </c>
      <c r="X61" s="21">
        <v>1.85442E-2</v>
      </c>
      <c r="Y61" s="21">
        <v>1.8439799999999999E-2</v>
      </c>
      <c r="Z61" s="21">
        <v>1.8495600000000001E-2</v>
      </c>
      <c r="AA61" s="21">
        <v>1.8508699999999999E-2</v>
      </c>
      <c r="AB61" s="21">
        <v>1.8328299999999999E-2</v>
      </c>
      <c r="AC61" s="21">
        <v>1.7699400000000001E-2</v>
      </c>
      <c r="AD61" s="21">
        <v>1.74203E-2</v>
      </c>
    </row>
    <row r="62" spans="1:30" s="21" customFormat="1">
      <c r="A62">
        <v>331</v>
      </c>
      <c r="B62" t="s">
        <v>54</v>
      </c>
      <c r="C62" s="534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O62" s="23">
        <v>2.6800000000000002E-6</v>
      </c>
      <c r="P62" s="23">
        <v>2.61E-6</v>
      </c>
      <c r="Q62" s="23">
        <v>2.6199999999999999E-6</v>
      </c>
      <c r="R62" s="23">
        <v>2.61E-6</v>
      </c>
      <c r="S62" s="23">
        <v>2.61E-6</v>
      </c>
      <c r="T62" s="23">
        <v>2.7599999999999998E-6</v>
      </c>
      <c r="U62" s="23">
        <v>2.8899999999999999E-6</v>
      </c>
      <c r="V62" s="23">
        <v>2.9000000000000002E-6</v>
      </c>
      <c r="W62" s="23">
        <v>3.0199999999999999E-6</v>
      </c>
      <c r="X62" s="23">
        <v>3.0800000000000002E-6</v>
      </c>
      <c r="Y62" s="23">
        <v>2.74E-6</v>
      </c>
      <c r="Z62" s="23">
        <v>3.14E-6</v>
      </c>
      <c r="AA62" s="23">
        <v>3.1099999999999999E-6</v>
      </c>
      <c r="AB62" s="23">
        <v>3.3100000000000001E-6</v>
      </c>
      <c r="AC62" s="23">
        <v>3.2100000000000002E-6</v>
      </c>
      <c r="AD62" s="23">
        <v>3.2200000000000001E-6</v>
      </c>
    </row>
    <row r="63" spans="1:30">
      <c r="A63">
        <v>338</v>
      </c>
      <c r="B63" t="s">
        <v>55</v>
      </c>
      <c r="C63" s="534">
        <v>1.9899999999999999E-5</v>
      </c>
      <c r="D63" s="534">
        <v>2.09E-5</v>
      </c>
      <c r="E63" s="534">
        <v>2.1699999999999999E-5</v>
      </c>
      <c r="F63" s="534">
        <v>2.2900000000000001E-5</v>
      </c>
      <c r="G63" s="534">
        <v>2.27E-5</v>
      </c>
      <c r="H63" s="534">
        <v>2.3499999999999999E-5</v>
      </c>
      <c r="I63" s="534">
        <v>2.3300000000000001E-5</v>
      </c>
      <c r="J63" s="534">
        <v>2.44E-5</v>
      </c>
      <c r="K63" s="534">
        <v>2.4499999999999999E-5</v>
      </c>
      <c r="L63" s="534">
        <v>3.1600000000000002E-5</v>
      </c>
      <c r="M63" s="534">
        <v>3.1000000000000001E-5</v>
      </c>
      <c r="N63">
        <v>3.2499999999999997E-5</v>
      </c>
      <c r="O63">
        <v>3.4400000000000003E-5</v>
      </c>
      <c r="P63">
        <v>3.3699999999999999E-5</v>
      </c>
      <c r="Q63" s="21">
        <v>3.4999999999999997E-5</v>
      </c>
      <c r="R63" s="21">
        <v>3.57E-5</v>
      </c>
      <c r="S63" s="21">
        <v>3.6300000000000001E-5</v>
      </c>
      <c r="T63" s="21">
        <v>3.5899999999999998E-5</v>
      </c>
      <c r="U63" s="21">
        <v>3.4100000000000002E-5</v>
      </c>
      <c r="V63" s="21">
        <v>3.3399999999999999E-5</v>
      </c>
      <c r="W63" s="21">
        <v>3.3200000000000001E-5</v>
      </c>
      <c r="X63" s="21">
        <v>3.3200000000000001E-5</v>
      </c>
      <c r="Y63" s="21">
        <v>3.4600000000000001E-5</v>
      </c>
      <c r="Z63" s="21">
        <v>3.5500000000000002E-5</v>
      </c>
      <c r="AA63" s="21">
        <v>3.6600000000000002E-5</v>
      </c>
      <c r="AB63" s="21">
        <v>3.6399999999999997E-5</v>
      </c>
      <c r="AC63" s="21">
        <v>3.5299999999999997E-5</v>
      </c>
      <c r="AD63" s="21">
        <v>3.4499999999999998E-5</v>
      </c>
    </row>
    <row r="64" spans="1:30">
      <c r="A64">
        <v>339</v>
      </c>
      <c r="B64" t="s">
        <v>56</v>
      </c>
      <c r="C64" s="534">
        <v>5.9789999999999995E-4</v>
      </c>
      <c r="D64" s="534">
        <v>5.6570000000000004E-4</v>
      </c>
      <c r="E64" s="534">
        <v>5.5999999999999995E-4</v>
      </c>
      <c r="F64" s="534">
        <v>5.5130000000000001E-4</v>
      </c>
      <c r="G64" s="534">
        <v>5.1409999999999997E-4</v>
      </c>
      <c r="H64" s="534">
        <v>5.1690000000000004E-4</v>
      </c>
      <c r="I64" s="534">
        <v>5.1719999999999999E-4</v>
      </c>
      <c r="J64" s="534">
        <v>5.1480000000000004E-4</v>
      </c>
      <c r="K64" s="534">
        <v>4.9470000000000004E-4</v>
      </c>
      <c r="L64" s="534">
        <v>4.9220000000000004E-4</v>
      </c>
      <c r="M64" s="534">
        <v>5.1800000000000001E-4</v>
      </c>
      <c r="N64">
        <v>4.4640000000000001E-4</v>
      </c>
      <c r="O64">
        <v>6.0800000000000003E-4</v>
      </c>
      <c r="P64" s="21">
        <v>6.378E-4</v>
      </c>
      <c r="Q64">
        <v>6.4269999999999996E-4</v>
      </c>
      <c r="R64">
        <v>5.5449999999999998E-4</v>
      </c>
      <c r="S64">
        <v>5.6789999999999998E-4</v>
      </c>
      <c r="T64">
        <v>5.6740000000000002E-4</v>
      </c>
      <c r="U64">
        <v>3.146E-4</v>
      </c>
      <c r="V64">
        <v>3.0440000000000003E-4</v>
      </c>
      <c r="W64">
        <v>5.6879999999999995E-4</v>
      </c>
      <c r="X64">
        <v>3.838E-4</v>
      </c>
      <c r="Y64">
        <v>3.86E-4</v>
      </c>
      <c r="Z64">
        <v>3.4299999999999999E-4</v>
      </c>
      <c r="AA64">
        <v>3.4069999999999999E-4</v>
      </c>
      <c r="AB64">
        <v>3.4299999999999999E-4</v>
      </c>
      <c r="AC64">
        <v>3.5770000000000002E-4</v>
      </c>
      <c r="AD64">
        <v>2.7589999999999998E-4</v>
      </c>
    </row>
    <row r="65" spans="1:30" s="21" customFormat="1">
      <c r="A65">
        <v>341</v>
      </c>
      <c r="B65" t="s">
        <v>193</v>
      </c>
      <c r="C65" s="534"/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AC65">
        <v>4.8399999999999997E-5</v>
      </c>
      <c r="AD65">
        <v>1.3320000000000001E-4</v>
      </c>
    </row>
    <row r="66" spans="1:30" s="21" customFormat="1">
      <c r="A66" s="21">
        <v>343</v>
      </c>
      <c r="B66" s="21" t="s">
        <v>57</v>
      </c>
      <c r="C66" s="534"/>
      <c r="D66" s="534"/>
      <c r="E66" s="534"/>
      <c r="F66" s="534"/>
      <c r="G66" s="534"/>
      <c r="H66" s="534"/>
      <c r="I66" s="534"/>
      <c r="J66" s="534"/>
      <c r="K66" s="534"/>
      <c r="L66" s="534"/>
      <c r="M66" s="534"/>
      <c r="P66" s="21">
        <v>2.652E-4</v>
      </c>
      <c r="Q66">
        <v>2.4269999999999999E-4</v>
      </c>
      <c r="R66">
        <v>2.721E-4</v>
      </c>
      <c r="S66">
        <v>2.6959999999999999E-4</v>
      </c>
      <c r="T66">
        <v>2.6959999999999999E-4</v>
      </c>
      <c r="U66">
        <v>2.8380000000000001E-4</v>
      </c>
      <c r="V66">
        <v>2.8370000000000001E-4</v>
      </c>
      <c r="W66">
        <v>3.0580000000000001E-4</v>
      </c>
      <c r="X66">
        <v>3.2949999999999999E-4</v>
      </c>
      <c r="Y66">
        <v>2.965E-4</v>
      </c>
      <c r="Z66">
        <v>3.0800000000000001E-4</v>
      </c>
      <c r="AA66">
        <v>2.8709999999999999E-4</v>
      </c>
      <c r="AB66">
        <v>2.7609999999999999E-4</v>
      </c>
      <c r="AC66" s="21">
        <v>2.8430000000000003E-4</v>
      </c>
      <c r="AD66" s="21">
        <v>2.899E-4</v>
      </c>
    </row>
    <row r="67" spans="1:30" s="21" customFormat="1">
      <c r="A67">
        <v>344</v>
      </c>
      <c r="B67" t="s">
        <v>58</v>
      </c>
      <c r="C67" s="534"/>
      <c r="D67" s="534"/>
      <c r="E67" s="534"/>
      <c r="F67" s="534"/>
      <c r="G67" s="534"/>
      <c r="H67" s="534"/>
      <c r="I67" s="534"/>
      <c r="J67" s="534"/>
      <c r="K67" s="534"/>
      <c r="L67" s="534"/>
      <c r="M67" s="534"/>
      <c r="O67">
        <v>1.2382000000000001E-3</v>
      </c>
      <c r="P67">
        <v>1.2819000000000001E-3</v>
      </c>
      <c r="Q67" s="21">
        <v>1.108E-3</v>
      </c>
      <c r="R67" s="21">
        <v>1.1806E-3</v>
      </c>
      <c r="S67" s="21">
        <v>1.0593E-3</v>
      </c>
      <c r="T67" s="21">
        <v>1.0544E-3</v>
      </c>
      <c r="U67" s="21">
        <v>1.0376000000000001E-3</v>
      </c>
      <c r="V67" s="21">
        <v>9.5029999999999995E-4</v>
      </c>
      <c r="W67" s="21">
        <v>9.0799999999999995E-4</v>
      </c>
      <c r="X67" s="21">
        <v>8.9959999999999997E-4</v>
      </c>
      <c r="Y67" s="21">
        <v>8.3460000000000001E-4</v>
      </c>
      <c r="Z67" s="21">
        <v>5.7280000000000005E-4</v>
      </c>
      <c r="AA67" s="21">
        <v>5.6919999999999996E-4</v>
      </c>
      <c r="AB67" s="21">
        <v>5.6090000000000003E-4</v>
      </c>
      <c r="AC67" s="21">
        <v>5.6809999999999999E-4</v>
      </c>
      <c r="AD67" s="21">
        <v>5.7989999999999995E-4</v>
      </c>
    </row>
    <row r="68" spans="1:30">
      <c r="A68">
        <v>345</v>
      </c>
      <c r="B68" t="s">
        <v>59</v>
      </c>
      <c r="C68" s="534">
        <v>5.5418999999999998E-3</v>
      </c>
      <c r="D68" s="534">
        <v>5.5285000000000004E-3</v>
      </c>
      <c r="E68" s="534">
        <v>5.4596999999999996E-3</v>
      </c>
      <c r="F68" s="534">
        <v>5.4596000000000002E-3</v>
      </c>
      <c r="G68" s="534">
        <v>5.1447000000000003E-3</v>
      </c>
      <c r="H68" s="534">
        <v>5.2195000000000002E-3</v>
      </c>
      <c r="I68" s="534">
        <v>5.3168E-3</v>
      </c>
      <c r="J68" s="534">
        <v>5.2880000000000002E-3</v>
      </c>
      <c r="K68" s="534">
        <v>5.1891000000000003E-3</v>
      </c>
      <c r="L68" s="534">
        <v>5.0295000000000001E-3</v>
      </c>
      <c r="M68" s="534">
        <v>4.6147000000000002E-3</v>
      </c>
      <c r="N68">
        <v>4.1586000000000001E-3</v>
      </c>
      <c r="O68">
        <v>2.2288999999999998E-3</v>
      </c>
      <c r="P68">
        <v>1.9262999999999999E-3</v>
      </c>
      <c r="Q68" s="21">
        <v>2.4583999999999999E-3</v>
      </c>
      <c r="R68" s="21">
        <v>2.5267000000000002E-3</v>
      </c>
      <c r="S68" s="21">
        <v>2.1806999999999998E-3</v>
      </c>
      <c r="T68" s="21">
        <v>2.3619000000000001E-3</v>
      </c>
      <c r="U68" s="21">
        <v>2.2242E-3</v>
      </c>
      <c r="V68" s="21">
        <v>1.9634000000000001E-3</v>
      </c>
      <c r="W68" s="21">
        <v>1.9872000000000002E-3</v>
      </c>
      <c r="X68" s="21">
        <v>1.8025999999999999E-3</v>
      </c>
      <c r="Y68" s="21">
        <v>1.4304000000000001E-3</v>
      </c>
      <c r="Z68" s="21">
        <v>1.4028000000000001E-3</v>
      </c>
      <c r="AA68" s="21">
        <v>1.4427999999999999E-3</v>
      </c>
      <c r="AB68" s="21">
        <v>1.3692999999999999E-3</v>
      </c>
      <c r="AC68">
        <v>1.1731000000000001E-3</v>
      </c>
      <c r="AD68" s="21">
        <v>9.7409999999999999E-4</v>
      </c>
    </row>
    <row r="69" spans="1:30" s="21" customFormat="1">
      <c r="A69">
        <v>346</v>
      </c>
      <c r="B69" t="s">
        <v>60</v>
      </c>
      <c r="C69" s="534"/>
      <c r="D69" s="534"/>
      <c r="E69" s="534"/>
      <c r="F69" s="534"/>
      <c r="G69" s="534"/>
      <c r="H69" s="534"/>
      <c r="I69" s="534"/>
      <c r="J69" s="534"/>
      <c r="K69" s="534"/>
      <c r="L69" s="534"/>
      <c r="M69" s="534"/>
      <c r="O69">
        <v>8.7909999999999996E-4</v>
      </c>
      <c r="P69">
        <v>8.7500000000000002E-4</v>
      </c>
      <c r="Q69">
        <v>9.2869999999999997E-4</v>
      </c>
      <c r="R69">
        <v>1.0696E-3</v>
      </c>
      <c r="S69">
        <v>9.412E-4</v>
      </c>
      <c r="T69">
        <v>5.8810000000000004E-4</v>
      </c>
      <c r="U69">
        <v>5.4109999999999998E-4</v>
      </c>
      <c r="V69">
        <v>5.3549999999999995E-4</v>
      </c>
      <c r="W69">
        <v>5.0359999999999999E-4</v>
      </c>
      <c r="X69">
        <v>4.4789999999999999E-4</v>
      </c>
      <c r="Y69">
        <v>4.2089999999999999E-4</v>
      </c>
      <c r="Z69">
        <v>3.9570000000000002E-4</v>
      </c>
      <c r="AA69">
        <v>4.2460000000000002E-4</v>
      </c>
      <c r="AB69">
        <v>4.7679999999999999E-4</v>
      </c>
      <c r="AC69" s="21">
        <v>3.9990000000000002E-4</v>
      </c>
      <c r="AD69">
        <v>4.0010000000000002E-4</v>
      </c>
    </row>
    <row r="70" spans="1:30" s="21" customFormat="1">
      <c r="A70">
        <v>349</v>
      </c>
      <c r="B70" t="s">
        <v>61</v>
      </c>
      <c r="C70" s="534"/>
      <c r="D70" s="534"/>
      <c r="E70" s="534"/>
      <c r="F70" s="534"/>
      <c r="G70" s="534"/>
      <c r="H70" s="534"/>
      <c r="I70" s="534"/>
      <c r="J70" s="534"/>
      <c r="K70" s="534"/>
      <c r="L70" s="534"/>
      <c r="M70" s="534"/>
      <c r="O70">
        <v>4.3459999999999999E-4</v>
      </c>
      <c r="P70">
        <v>3.9050000000000001E-4</v>
      </c>
      <c r="Q70" s="21">
        <v>4.3540000000000001E-4</v>
      </c>
      <c r="R70" s="21">
        <v>3.6939999999999998E-4</v>
      </c>
      <c r="S70" s="21">
        <v>3.3540000000000002E-4</v>
      </c>
      <c r="T70" s="21">
        <v>3.6650000000000002E-4</v>
      </c>
      <c r="U70" s="21">
        <v>3.7280000000000001E-4</v>
      </c>
      <c r="V70" s="21">
        <v>3.6099999999999999E-4</v>
      </c>
      <c r="W70" s="21">
        <v>3.5050000000000001E-4</v>
      </c>
      <c r="X70" s="21">
        <v>3.3030000000000001E-4</v>
      </c>
      <c r="Y70" s="21">
        <v>3.367E-4</v>
      </c>
      <c r="Z70" s="21">
        <v>3.2190000000000002E-4</v>
      </c>
      <c r="AA70" s="21">
        <v>3.2899999999999997E-4</v>
      </c>
      <c r="AB70" s="21">
        <v>3.2929999999999998E-4</v>
      </c>
      <c r="AC70" s="21">
        <v>3.4499999999999998E-4</v>
      </c>
      <c r="AD70" s="21">
        <v>3.4610000000000001E-4</v>
      </c>
    </row>
    <row r="71" spans="1:30">
      <c r="A71">
        <v>350</v>
      </c>
      <c r="B71" t="s">
        <v>62</v>
      </c>
      <c r="C71" s="534">
        <v>3.1892000000000001E-3</v>
      </c>
      <c r="D71" s="534">
        <v>3.2166999999999999E-3</v>
      </c>
      <c r="E71" s="534">
        <v>3.1689000000000001E-3</v>
      </c>
      <c r="F71" s="534">
        <v>3.0122999999999999E-3</v>
      </c>
      <c r="G71" s="534">
        <v>3.2017999999999999E-3</v>
      </c>
      <c r="H71" s="534">
        <v>3.222E-3</v>
      </c>
      <c r="I71" s="534">
        <v>3.2466999999999999E-3</v>
      </c>
      <c r="J71" s="534">
        <v>3.2181000000000002E-3</v>
      </c>
      <c r="K71" s="534">
        <v>3.1844999999999998E-3</v>
      </c>
      <c r="L71" s="534">
        <v>3.4182000000000001E-3</v>
      </c>
      <c r="M71" s="534">
        <v>3.441E-3</v>
      </c>
      <c r="N71">
        <v>3.6283999999999999E-3</v>
      </c>
      <c r="O71">
        <v>3.8831999999999998E-3</v>
      </c>
      <c r="P71">
        <v>3.7881999999999998E-3</v>
      </c>
      <c r="Q71" s="21">
        <v>3.5812000000000001E-3</v>
      </c>
      <c r="R71" s="21">
        <v>4.0057000000000001E-3</v>
      </c>
      <c r="S71" s="21">
        <v>4.1532000000000001E-3</v>
      </c>
      <c r="T71" s="21">
        <v>4.1037000000000001E-3</v>
      </c>
      <c r="U71" s="21">
        <v>4.2963000000000003E-3</v>
      </c>
      <c r="V71" s="21">
        <v>4.0618E-3</v>
      </c>
      <c r="W71" s="21">
        <v>3.8541999999999999E-3</v>
      </c>
      <c r="X71" s="21">
        <v>3.9173999999999997E-3</v>
      </c>
      <c r="Y71" s="21">
        <v>3.9179000000000002E-3</v>
      </c>
      <c r="Z71" s="21">
        <v>3.7813999999999999E-3</v>
      </c>
      <c r="AA71" s="21">
        <v>3.8159999999999999E-3</v>
      </c>
      <c r="AB71" s="21">
        <v>3.9034999999999999E-3</v>
      </c>
      <c r="AC71">
        <v>3.8920999999999999E-3</v>
      </c>
      <c r="AD71" s="21">
        <v>3.8126000000000002E-3</v>
      </c>
    </row>
    <row r="72" spans="1:30">
      <c r="A72">
        <v>352</v>
      </c>
      <c r="B72" t="s">
        <v>63</v>
      </c>
      <c r="C72" s="534">
        <v>1.8980000000000001E-4</v>
      </c>
      <c r="D72" s="534">
        <v>1.8689999999999999E-4</v>
      </c>
      <c r="E72" s="534">
        <v>2.0269999999999999E-4</v>
      </c>
      <c r="F72" s="534">
        <v>1.6190000000000001E-4</v>
      </c>
      <c r="G72" s="534">
        <v>1.5809999999999999E-4</v>
      </c>
      <c r="H72" s="534">
        <v>1.617E-4</v>
      </c>
      <c r="I72" s="534">
        <v>1.7210000000000001E-4</v>
      </c>
      <c r="J72" s="534">
        <v>1.7249999999999999E-4</v>
      </c>
      <c r="K72" s="534">
        <v>1.7119999999999999E-4</v>
      </c>
      <c r="L72" s="534">
        <v>1.8929999999999999E-4</v>
      </c>
      <c r="M72" s="534">
        <v>1.908E-4</v>
      </c>
      <c r="N72">
        <v>1.9440000000000001E-4</v>
      </c>
      <c r="O72">
        <v>2.4479999999999999E-4</v>
      </c>
      <c r="P72">
        <v>2.5359999999999998E-4</v>
      </c>
      <c r="Q72">
        <v>2.4899999999999998E-4</v>
      </c>
      <c r="R72">
        <v>2.1670000000000001E-4</v>
      </c>
      <c r="S72">
        <v>2.3839999999999999E-4</v>
      </c>
      <c r="T72">
        <v>2.4820000000000002E-4</v>
      </c>
      <c r="U72">
        <v>2.6659999999999998E-4</v>
      </c>
      <c r="V72">
        <v>2.4889999999999998E-4</v>
      </c>
      <c r="W72">
        <v>2.174E-4</v>
      </c>
      <c r="X72">
        <v>2.0780000000000001E-4</v>
      </c>
      <c r="Y72">
        <v>1.9090000000000001E-4</v>
      </c>
      <c r="Z72">
        <v>1.9039999999999999E-4</v>
      </c>
      <c r="AA72">
        <v>1.7200000000000001E-4</v>
      </c>
      <c r="AB72">
        <v>1.7819999999999999E-4</v>
      </c>
      <c r="AC72">
        <v>1.7009999999999999E-4</v>
      </c>
      <c r="AD72">
        <v>2.019E-4</v>
      </c>
    </row>
    <row r="73" spans="1:30">
      <c r="A73">
        <v>355</v>
      </c>
      <c r="B73" t="s">
        <v>64</v>
      </c>
      <c r="C73" s="534">
        <v>3.9633000000000003E-3</v>
      </c>
      <c r="D73" s="534">
        <v>3.9652000000000003E-3</v>
      </c>
      <c r="E73" s="534">
        <v>4.1468E-3</v>
      </c>
      <c r="F73" s="534">
        <v>4.2810000000000001E-3</v>
      </c>
      <c r="G73" s="534">
        <v>4.6690000000000004E-3</v>
      </c>
      <c r="H73" s="534">
        <v>4.1206000000000003E-3</v>
      </c>
      <c r="I73" s="534">
        <v>4.1053000000000001E-3</v>
      </c>
      <c r="J73" s="534">
        <v>4.1830000000000001E-3</v>
      </c>
      <c r="K73" s="534">
        <v>3.7734000000000001E-3</v>
      </c>
      <c r="L73" s="534">
        <v>3.8054E-3</v>
      </c>
      <c r="M73" s="534">
        <v>3.1416E-3</v>
      </c>
      <c r="N73">
        <v>2.6029999999999998E-3</v>
      </c>
      <c r="O73">
        <v>2.3359000000000001E-3</v>
      </c>
      <c r="P73">
        <v>1.9930999999999998E-3</v>
      </c>
      <c r="Q73">
        <v>2.2517000000000001E-3</v>
      </c>
      <c r="R73">
        <v>1.8967999999999999E-3</v>
      </c>
      <c r="S73">
        <v>2.1836999999999998E-3</v>
      </c>
      <c r="T73">
        <v>2.0633000000000001E-3</v>
      </c>
      <c r="U73">
        <v>1.9507999999999999E-3</v>
      </c>
      <c r="V73">
        <v>1.7773999999999999E-3</v>
      </c>
      <c r="W73">
        <v>1.8188E-3</v>
      </c>
      <c r="X73">
        <v>1.7917E-3</v>
      </c>
      <c r="Y73">
        <v>1.6559000000000001E-3</v>
      </c>
      <c r="Z73">
        <v>1.5498E-3</v>
      </c>
      <c r="AA73">
        <v>1.4923E-3</v>
      </c>
      <c r="AB73">
        <v>1.4629000000000001E-3</v>
      </c>
      <c r="AC73">
        <v>1.4473999999999999E-3</v>
      </c>
      <c r="AD73">
        <v>1.4218E-3</v>
      </c>
    </row>
    <row r="74" spans="1:30">
      <c r="A74">
        <v>359</v>
      </c>
      <c r="B74" t="s">
        <v>65</v>
      </c>
      <c r="N74">
        <v>7.2789999999999997E-4</v>
      </c>
      <c r="O74">
        <v>6.6649999999999999E-4</v>
      </c>
      <c r="P74">
        <v>5.7689999999999998E-4</v>
      </c>
      <c r="Q74">
        <v>5.3790000000000001E-4</v>
      </c>
      <c r="R74">
        <v>5.2930000000000002E-4</v>
      </c>
      <c r="S74">
        <v>5.1429999999999998E-4</v>
      </c>
      <c r="T74">
        <v>4.9879999999999998E-4</v>
      </c>
      <c r="U74">
        <v>4.8260000000000002E-4</v>
      </c>
      <c r="V74">
        <v>4.751E-4</v>
      </c>
      <c r="W74">
        <v>4.8910000000000002E-4</v>
      </c>
      <c r="X74">
        <v>4.662E-4</v>
      </c>
      <c r="Y74">
        <v>3.5930000000000001E-4</v>
      </c>
      <c r="Z74">
        <v>3.9990000000000002E-4</v>
      </c>
      <c r="AA74">
        <v>3.8309999999999999E-4</v>
      </c>
      <c r="AB74">
        <v>3.7280000000000001E-4</v>
      </c>
      <c r="AC74">
        <v>3.1950000000000001E-4</v>
      </c>
      <c r="AD74">
        <v>3.4600000000000001E-4</v>
      </c>
    </row>
    <row r="75" spans="1:30">
      <c r="A75">
        <v>360</v>
      </c>
      <c r="B75" t="s">
        <v>66</v>
      </c>
      <c r="C75" s="534">
        <v>9.2665000000000004E-3</v>
      </c>
      <c r="D75" s="534">
        <v>9.2531999999999996E-3</v>
      </c>
      <c r="E75" s="534">
        <v>9.5890999999999997E-3</v>
      </c>
      <c r="F75" s="534">
        <v>9.5157999999999996E-3</v>
      </c>
      <c r="G75" s="534">
        <v>9.6317999999999994E-3</v>
      </c>
      <c r="H75" s="534">
        <v>8.6286000000000002E-3</v>
      </c>
      <c r="I75" s="534">
        <v>8.7319000000000008E-3</v>
      </c>
      <c r="J75" s="534">
        <v>8.5736000000000007E-3</v>
      </c>
      <c r="K75" s="534">
        <v>8.2632000000000001E-3</v>
      </c>
      <c r="L75" s="534">
        <v>8.4825000000000005E-3</v>
      </c>
      <c r="M75" s="534">
        <v>6.3815E-3</v>
      </c>
      <c r="N75">
        <v>6.0073000000000001E-3</v>
      </c>
      <c r="O75">
        <v>5.3775999999999997E-3</v>
      </c>
      <c r="P75">
        <v>5.3822000000000002E-3</v>
      </c>
      <c r="Q75">
        <v>5.2069000000000004E-3</v>
      </c>
      <c r="R75">
        <v>5.3823999999999999E-3</v>
      </c>
      <c r="S75">
        <v>5.2053999999999998E-3</v>
      </c>
      <c r="T75">
        <v>5.0949000000000003E-3</v>
      </c>
      <c r="U75">
        <v>5.0512999999999999E-3</v>
      </c>
      <c r="V75">
        <v>4.0959999999999998E-3</v>
      </c>
      <c r="W75">
        <v>4.3927999999999997E-3</v>
      </c>
      <c r="X75">
        <v>3.6752999999999998E-3</v>
      </c>
      <c r="Y75">
        <v>3.6543000000000001E-3</v>
      </c>
      <c r="Z75">
        <v>3.6167999999999999E-3</v>
      </c>
      <c r="AA75">
        <v>3.5829E-3</v>
      </c>
      <c r="AB75">
        <v>3.5534E-3</v>
      </c>
      <c r="AC75">
        <v>3.4745000000000002E-3</v>
      </c>
      <c r="AD75">
        <v>3.2130000000000001E-3</v>
      </c>
    </row>
    <row r="76" spans="1:30">
      <c r="A76">
        <v>365</v>
      </c>
      <c r="B76" t="s">
        <v>67</v>
      </c>
      <c r="C76" s="534">
        <v>0.17002719999999999</v>
      </c>
      <c r="D76" s="534">
        <v>0.17086609999999999</v>
      </c>
      <c r="E76" s="534">
        <v>0.1726654</v>
      </c>
      <c r="F76" s="534">
        <v>0.17328830000000001</v>
      </c>
      <c r="G76" s="534">
        <v>0.16489200000000001</v>
      </c>
      <c r="H76" s="534">
        <v>0.170436</v>
      </c>
      <c r="I76" s="534">
        <v>0.16923450000000001</v>
      </c>
      <c r="J76" s="534">
        <v>0.16767309999999999</v>
      </c>
      <c r="K76" s="534">
        <v>0.165073</v>
      </c>
      <c r="L76" s="534">
        <v>0.1312931</v>
      </c>
      <c r="M76" s="534">
        <v>0.1238611</v>
      </c>
      <c r="N76">
        <v>9.7295000000000006E-2</v>
      </c>
      <c r="O76">
        <v>6.5220600000000004E-2</v>
      </c>
      <c r="P76">
        <v>5.6025600000000002E-2</v>
      </c>
      <c r="Q76">
        <v>6.5154100000000006E-2</v>
      </c>
      <c r="R76">
        <v>6.10809E-2</v>
      </c>
      <c r="S76">
        <v>5.6931200000000001E-2</v>
      </c>
      <c r="T76">
        <v>5.3965300000000001E-2</v>
      </c>
      <c r="U76">
        <v>4.9231799999999999E-2</v>
      </c>
      <c r="V76">
        <v>4.9466900000000001E-2</v>
      </c>
      <c r="W76">
        <v>4.9524199999999997E-2</v>
      </c>
      <c r="X76">
        <v>5.1413500000000001E-2</v>
      </c>
      <c r="Y76">
        <v>4.75632E-2</v>
      </c>
      <c r="Z76">
        <v>4.7297800000000001E-2</v>
      </c>
      <c r="AA76">
        <v>4.5459100000000002E-2</v>
      </c>
      <c r="AB76">
        <v>3.9080200000000002E-2</v>
      </c>
      <c r="AC76">
        <v>3.9334899999999999E-2</v>
      </c>
      <c r="AD76">
        <v>3.92739E-2</v>
      </c>
    </row>
    <row r="77" spans="1:30">
      <c r="A77">
        <v>366</v>
      </c>
      <c r="B77" t="s">
        <v>68</v>
      </c>
      <c r="N77">
        <v>1.93E-4</v>
      </c>
      <c r="O77">
        <v>2.5839999999999999E-4</v>
      </c>
      <c r="P77">
        <v>2.4919999999999999E-4</v>
      </c>
      <c r="Q77">
        <v>2.1919999999999999E-4</v>
      </c>
      <c r="R77">
        <v>2.32E-4</v>
      </c>
      <c r="S77">
        <v>2.3589999999999999E-4</v>
      </c>
      <c r="T77">
        <v>2.3039999999999999E-4</v>
      </c>
      <c r="U77">
        <v>2.208E-4</v>
      </c>
      <c r="V77">
        <v>2.1699999999999999E-4</v>
      </c>
      <c r="W77">
        <v>1.9870000000000001E-4</v>
      </c>
      <c r="X77">
        <v>1.931E-4</v>
      </c>
      <c r="Y77">
        <v>2.0469999999999999E-4</v>
      </c>
      <c r="Z77">
        <v>2.13E-4</v>
      </c>
      <c r="AA77">
        <v>2.041E-4</v>
      </c>
      <c r="AB77">
        <v>1.9579999999999999E-4</v>
      </c>
      <c r="AC77">
        <v>2.4279999999999999E-4</v>
      </c>
      <c r="AD77">
        <v>2.5280000000000002E-4</v>
      </c>
    </row>
    <row r="78" spans="1:30">
      <c r="A78">
        <v>367</v>
      </c>
      <c r="B78" t="s">
        <v>69</v>
      </c>
      <c r="N78">
        <v>4.8309999999999998E-4</v>
      </c>
      <c r="O78">
        <v>3.8900000000000002E-4</v>
      </c>
      <c r="P78">
        <v>3.7760000000000002E-4</v>
      </c>
      <c r="Q78">
        <v>3.6999999999999999E-4</v>
      </c>
      <c r="R78">
        <v>3.6620000000000001E-4</v>
      </c>
      <c r="S78">
        <v>3.6719999999999998E-4</v>
      </c>
      <c r="T78">
        <v>3.6969999999999999E-4</v>
      </c>
      <c r="U78">
        <v>3.4220000000000002E-4</v>
      </c>
      <c r="V78">
        <v>3.3550000000000002E-4</v>
      </c>
      <c r="W78">
        <v>3.2640000000000002E-4</v>
      </c>
      <c r="X78">
        <v>3.4079999999999999E-4</v>
      </c>
      <c r="Y78">
        <v>3.4239999999999997E-4</v>
      </c>
      <c r="Z78">
        <v>3.2969999999999999E-4</v>
      </c>
      <c r="AA78">
        <v>3.3869999999999999E-4</v>
      </c>
      <c r="AB78">
        <v>3.3819999999999998E-4</v>
      </c>
      <c r="AC78">
        <v>3.4079999999999999E-4</v>
      </c>
      <c r="AD78">
        <v>3.4489999999999998E-4</v>
      </c>
    </row>
    <row r="79" spans="1:30">
      <c r="A79">
        <v>368</v>
      </c>
      <c r="B79" t="s">
        <v>70</v>
      </c>
      <c r="N79">
        <v>5.5110000000000001E-4</v>
      </c>
      <c r="O79">
        <v>5.4960000000000002E-4</v>
      </c>
      <c r="P79">
        <v>5.2919999999999996E-4</v>
      </c>
      <c r="Q79">
        <v>4.9200000000000003E-4</v>
      </c>
      <c r="R79">
        <v>4.9850000000000003E-4</v>
      </c>
      <c r="S79">
        <v>4.9540000000000001E-4</v>
      </c>
      <c r="T79">
        <v>4.9039999999999999E-4</v>
      </c>
      <c r="U79">
        <v>4.996E-4</v>
      </c>
      <c r="V79">
        <v>4.5810000000000002E-4</v>
      </c>
      <c r="W79">
        <v>4.7160000000000002E-4</v>
      </c>
      <c r="X79">
        <v>4.7600000000000002E-4</v>
      </c>
      <c r="Y79">
        <v>5.9279999999999999E-4</v>
      </c>
      <c r="Z79">
        <v>5.8200000000000005E-4</v>
      </c>
      <c r="AA79">
        <v>5.8410000000000005E-4</v>
      </c>
      <c r="AB79">
        <v>5.7939999999999999E-4</v>
      </c>
      <c r="AC79">
        <v>4.773E-4</v>
      </c>
      <c r="AD79">
        <v>4.4230000000000002E-4</v>
      </c>
    </row>
    <row r="80" spans="1:30">
      <c r="A80">
        <v>369</v>
      </c>
      <c r="B80" t="s">
        <v>71</v>
      </c>
      <c r="N80">
        <v>1.8530899999999999E-2</v>
      </c>
      <c r="O80">
        <v>2.4230100000000001E-2</v>
      </c>
      <c r="P80">
        <v>2.0457199999999998E-2</v>
      </c>
      <c r="Q80">
        <v>1.7071300000000001E-2</v>
      </c>
      <c r="R80">
        <v>1.6313500000000002E-2</v>
      </c>
      <c r="S80">
        <v>1.60281E-2</v>
      </c>
      <c r="T80">
        <v>1.56407E-2</v>
      </c>
      <c r="U80">
        <v>1.46E-2</v>
      </c>
      <c r="V80">
        <v>1.4837599999999999E-2</v>
      </c>
      <c r="W80">
        <v>1.54471E-2</v>
      </c>
      <c r="X80">
        <v>1.55558E-2</v>
      </c>
      <c r="Y80">
        <v>1.52509E-2</v>
      </c>
      <c r="Z80">
        <v>1.4963199999999999E-2</v>
      </c>
      <c r="AA80">
        <v>1.39714E-2</v>
      </c>
      <c r="AB80">
        <v>1.25741E-2</v>
      </c>
      <c r="AC80">
        <v>1.2004799999999999E-2</v>
      </c>
      <c r="AD80">
        <v>1.1835E-2</v>
      </c>
    </row>
    <row r="81" spans="1:30">
      <c r="A81">
        <v>370</v>
      </c>
      <c r="B81" t="s">
        <v>72</v>
      </c>
      <c r="N81">
        <v>1.6987E-3</v>
      </c>
      <c r="O81">
        <v>3.5852000000000002E-3</v>
      </c>
      <c r="P81">
        <v>3.1955E-3</v>
      </c>
      <c r="Q81">
        <v>2.6208E-3</v>
      </c>
      <c r="R81">
        <v>2.5056000000000002E-3</v>
      </c>
      <c r="S81">
        <v>2.4894000000000001E-3</v>
      </c>
      <c r="T81">
        <v>2.5511000000000002E-3</v>
      </c>
      <c r="U81">
        <v>2.2770999999999998E-3</v>
      </c>
      <c r="V81">
        <v>2.4515000000000001E-3</v>
      </c>
      <c r="W81">
        <v>2.7704000000000001E-3</v>
      </c>
      <c r="X81">
        <v>2.9589999999999998E-3</v>
      </c>
      <c r="Y81">
        <v>2.9941E-3</v>
      </c>
      <c r="Z81">
        <v>2.8208E-3</v>
      </c>
      <c r="AA81">
        <v>2.5233999999999999E-3</v>
      </c>
      <c r="AB81">
        <v>2.5646000000000002E-3</v>
      </c>
      <c r="AC81">
        <v>2.6007999999999999E-3</v>
      </c>
      <c r="AD81">
        <v>2.5568000000000001E-3</v>
      </c>
    </row>
    <row r="82" spans="1:30">
      <c r="A82">
        <v>371</v>
      </c>
      <c r="B82" t="s">
        <v>73</v>
      </c>
      <c r="N82">
        <v>3.8329999999999999E-4</v>
      </c>
      <c r="O82">
        <v>4.7310000000000001E-4</v>
      </c>
      <c r="P82">
        <v>4.8799999999999999E-4</v>
      </c>
      <c r="Q82">
        <v>7.4949999999999995E-4</v>
      </c>
      <c r="R82">
        <v>7.5449999999999996E-4</v>
      </c>
      <c r="S82">
        <v>7.6979999999999995E-4</v>
      </c>
      <c r="T82">
        <v>7.6579999999999997E-4</v>
      </c>
      <c r="U82">
        <v>6.9550000000000005E-4</v>
      </c>
      <c r="V82">
        <v>6.7579999999999995E-4</v>
      </c>
      <c r="W82">
        <v>6.9890000000000002E-4</v>
      </c>
      <c r="X82">
        <v>6.9110000000000005E-4</v>
      </c>
      <c r="Y82">
        <v>7.0609999999999998E-4</v>
      </c>
      <c r="Z82">
        <v>6.8650000000000004E-4</v>
      </c>
      <c r="AA82">
        <v>6.0559999999999998E-4</v>
      </c>
      <c r="AB82">
        <v>6.3020000000000003E-4</v>
      </c>
      <c r="AC82">
        <v>6.3080000000000005E-4</v>
      </c>
      <c r="AD82">
        <v>6.1419999999999997E-4</v>
      </c>
    </row>
    <row r="83" spans="1:30">
      <c r="A83">
        <v>372</v>
      </c>
      <c r="B83" t="s">
        <v>74</v>
      </c>
      <c r="N83">
        <v>9.2310000000000005E-4</v>
      </c>
      <c r="O83">
        <v>1.0828000000000001E-3</v>
      </c>
      <c r="P83">
        <v>6.6239999999999995E-4</v>
      </c>
      <c r="Q83">
        <v>5.2450000000000001E-4</v>
      </c>
      <c r="R83">
        <v>4.549E-4</v>
      </c>
      <c r="S83">
        <v>4.35E-4</v>
      </c>
      <c r="T83">
        <v>4.705E-4</v>
      </c>
      <c r="U83">
        <v>4.8139999999999999E-4</v>
      </c>
      <c r="V83">
        <v>4.4030000000000002E-4</v>
      </c>
      <c r="W83">
        <v>5.6519999999999997E-4</v>
      </c>
      <c r="X83">
        <v>4.6430000000000001E-4</v>
      </c>
      <c r="Y83">
        <v>5.7790000000000001E-4</v>
      </c>
      <c r="Z83">
        <v>5.4710000000000002E-4</v>
      </c>
      <c r="AA83">
        <v>4.6250000000000002E-4</v>
      </c>
      <c r="AB83">
        <v>4.5689999999999999E-4</v>
      </c>
      <c r="AC83">
        <v>4.7140000000000002E-4</v>
      </c>
      <c r="AD83">
        <v>5.0390000000000005E-4</v>
      </c>
    </row>
    <row r="84" spans="1:30">
      <c r="A84">
        <v>373</v>
      </c>
      <c r="B84" t="s">
        <v>75</v>
      </c>
      <c r="N84">
        <v>7.1429999999999996E-4</v>
      </c>
      <c r="O84">
        <v>1.2218999999999999E-3</v>
      </c>
      <c r="P84">
        <v>1.078E-3</v>
      </c>
      <c r="Q84">
        <v>1.0835E-3</v>
      </c>
      <c r="R84">
        <v>1.2396E-3</v>
      </c>
      <c r="S84">
        <v>1.2547000000000001E-3</v>
      </c>
      <c r="T84">
        <v>1.2191000000000001E-3</v>
      </c>
      <c r="U84">
        <v>1.2011000000000001E-3</v>
      </c>
      <c r="V84">
        <v>1.2179999999999999E-3</v>
      </c>
      <c r="W84">
        <v>1.3071000000000001E-3</v>
      </c>
      <c r="X84">
        <v>1.3473999999999999E-3</v>
      </c>
      <c r="Y84">
        <v>1.6142999999999999E-3</v>
      </c>
      <c r="Z84">
        <v>1.5120999999999999E-3</v>
      </c>
      <c r="AA84">
        <v>1.3923E-3</v>
      </c>
      <c r="AB84">
        <v>1.4172E-3</v>
      </c>
      <c r="AC84">
        <v>1.2726E-3</v>
      </c>
      <c r="AD84">
        <v>1.2792999999999999E-3</v>
      </c>
    </row>
    <row r="85" spans="1:30">
      <c r="A85">
        <v>375</v>
      </c>
      <c r="B85" t="s">
        <v>76</v>
      </c>
      <c r="C85" s="534">
        <v>1.8663E-3</v>
      </c>
      <c r="D85" s="534">
        <v>1.805E-3</v>
      </c>
      <c r="E85" s="534">
        <v>1.7947E-3</v>
      </c>
      <c r="F85" s="534">
        <v>1.8098000000000001E-3</v>
      </c>
      <c r="G85" s="534">
        <v>1.789E-3</v>
      </c>
      <c r="H85" s="534">
        <v>2.0883999999999998E-3</v>
      </c>
      <c r="I85" s="534">
        <v>2.1067999999999998E-3</v>
      </c>
      <c r="J85" s="534">
        <v>2.1705000000000001E-3</v>
      </c>
      <c r="K85" s="534">
        <v>2.1145000000000001E-3</v>
      </c>
      <c r="L85" s="534">
        <v>2.2171000000000001E-3</v>
      </c>
      <c r="M85" s="534">
        <v>2.2003999999999999E-3</v>
      </c>
      <c r="N85">
        <v>2.3671E-3</v>
      </c>
      <c r="O85">
        <v>2.4237999999999998E-3</v>
      </c>
      <c r="P85">
        <v>2.2496E-3</v>
      </c>
      <c r="Q85">
        <v>2.3111999999999998E-3</v>
      </c>
      <c r="R85">
        <v>2.2274999999999999E-3</v>
      </c>
      <c r="S85">
        <v>2.3181999999999999E-3</v>
      </c>
      <c r="T85">
        <v>2.2583999999999998E-3</v>
      </c>
      <c r="U85">
        <v>2.3132000000000001E-3</v>
      </c>
      <c r="V85">
        <v>2.4548999999999999E-3</v>
      </c>
      <c r="W85">
        <v>2.3088000000000002E-3</v>
      </c>
      <c r="X85">
        <v>2.1419E-3</v>
      </c>
      <c r="Y85">
        <v>2.3620999999999998E-3</v>
      </c>
      <c r="Z85">
        <v>2.4832999999999999E-3</v>
      </c>
      <c r="AA85">
        <v>2.3557000000000001E-3</v>
      </c>
      <c r="AB85">
        <v>2.2225999999999999E-3</v>
      </c>
      <c r="AC85">
        <v>2.2512999999999999E-3</v>
      </c>
      <c r="AD85">
        <v>2.1443999999999999E-3</v>
      </c>
    </row>
    <row r="86" spans="1:30">
      <c r="A86">
        <v>380</v>
      </c>
      <c r="B86" t="s">
        <v>77</v>
      </c>
      <c r="C86" s="534">
        <v>3.8658E-3</v>
      </c>
      <c r="D86" s="534">
        <v>3.4513999999999999E-3</v>
      </c>
      <c r="E86" s="534">
        <v>3.5098E-3</v>
      </c>
      <c r="F86" s="534">
        <v>3.5658E-3</v>
      </c>
      <c r="G86" s="534">
        <v>3.7870999999999998E-3</v>
      </c>
      <c r="H86" s="534">
        <v>3.9950999999999997E-3</v>
      </c>
      <c r="I86" s="534">
        <v>4.0102999999999996E-3</v>
      </c>
      <c r="J86" s="534">
        <v>4.0704000000000001E-3</v>
      </c>
      <c r="K86" s="534">
        <v>3.8868000000000002E-3</v>
      </c>
      <c r="L86" s="534">
        <v>3.9356E-3</v>
      </c>
      <c r="M86" s="534">
        <v>4.0283000000000003E-3</v>
      </c>
      <c r="N86">
        <v>4.3654999999999996E-3</v>
      </c>
      <c r="O86">
        <v>4.4409000000000002E-3</v>
      </c>
      <c r="P86">
        <v>4.2071000000000001E-3</v>
      </c>
      <c r="Q86">
        <v>4.3080000000000002E-3</v>
      </c>
      <c r="R86">
        <v>4.3394000000000002E-3</v>
      </c>
      <c r="S86">
        <v>4.3322999999999999E-3</v>
      </c>
      <c r="T86">
        <v>4.1304000000000002E-3</v>
      </c>
      <c r="U86">
        <v>4.2231999999999999E-3</v>
      </c>
      <c r="V86">
        <v>4.0230999999999999E-3</v>
      </c>
      <c r="W86">
        <v>4.2686E-3</v>
      </c>
      <c r="X86">
        <v>4.4719E-3</v>
      </c>
      <c r="Y86">
        <v>4.8910999999999998E-3</v>
      </c>
      <c r="Z86">
        <v>5.0374E-3</v>
      </c>
      <c r="AA86">
        <v>5.4903E-3</v>
      </c>
      <c r="AB86">
        <v>5.6991000000000003E-3</v>
      </c>
      <c r="AC86">
        <v>5.8669999999999998E-3</v>
      </c>
      <c r="AD86">
        <v>2.9788000000000002E-3</v>
      </c>
    </row>
    <row r="87" spans="1:30">
      <c r="A87">
        <v>385</v>
      </c>
      <c r="B87" t="s">
        <v>78</v>
      </c>
      <c r="C87" s="534">
        <v>1.8002000000000001E-3</v>
      </c>
      <c r="D87" s="534">
        <v>1.7488E-3</v>
      </c>
      <c r="E87" s="534">
        <v>1.769E-3</v>
      </c>
      <c r="F87" s="534">
        <v>1.8132000000000001E-3</v>
      </c>
      <c r="G87" s="534">
        <v>1.6800000000000001E-3</v>
      </c>
      <c r="H87" s="534">
        <v>1.6042000000000001E-3</v>
      </c>
      <c r="I87" s="534">
        <v>1.6609000000000001E-3</v>
      </c>
      <c r="J87" s="534">
        <v>1.6662999999999999E-3</v>
      </c>
      <c r="K87" s="534">
        <v>1.7095000000000001E-3</v>
      </c>
      <c r="L87" s="534">
        <v>1.8871999999999999E-3</v>
      </c>
      <c r="M87" s="534">
        <v>1.9524E-3</v>
      </c>
      <c r="N87">
        <v>1.9046E-3</v>
      </c>
      <c r="O87">
        <v>1.9878000000000001E-3</v>
      </c>
      <c r="P87">
        <v>1.9047000000000001E-3</v>
      </c>
      <c r="Q87">
        <v>1.836E-3</v>
      </c>
      <c r="R87">
        <v>1.9363E-3</v>
      </c>
      <c r="S87">
        <v>1.9615000000000001E-3</v>
      </c>
      <c r="T87">
        <v>1.8433E-3</v>
      </c>
      <c r="U87">
        <v>1.9040000000000001E-3</v>
      </c>
      <c r="V87">
        <v>1.7112E-3</v>
      </c>
      <c r="W87">
        <v>1.5731E-3</v>
      </c>
      <c r="X87">
        <v>1.5629999999999999E-3</v>
      </c>
      <c r="Y87">
        <v>1.7769000000000001E-3</v>
      </c>
      <c r="Z87">
        <v>1.7223E-3</v>
      </c>
      <c r="AA87">
        <v>1.6918E-3</v>
      </c>
      <c r="AB87">
        <v>1.714E-3</v>
      </c>
      <c r="AC87">
        <v>1.6670000000000001E-3</v>
      </c>
      <c r="AD87">
        <v>1.6396E-3</v>
      </c>
    </row>
    <row r="88" spans="1:30">
      <c r="A88">
        <v>390</v>
      </c>
      <c r="B88" t="s">
        <v>79</v>
      </c>
      <c r="C88" s="534">
        <v>1.4969E-3</v>
      </c>
      <c r="D88" s="534">
        <v>1.3653999999999999E-3</v>
      </c>
      <c r="E88" s="534">
        <v>1.3243E-3</v>
      </c>
      <c r="F88" s="534">
        <v>1.3201E-3</v>
      </c>
      <c r="G88" s="534">
        <v>1.3977E-3</v>
      </c>
      <c r="H88" s="534">
        <v>1.4555E-3</v>
      </c>
      <c r="I88" s="534">
        <v>1.5022E-3</v>
      </c>
      <c r="J88" s="534">
        <v>1.4587000000000001E-3</v>
      </c>
      <c r="K88" s="534">
        <v>1.4695999999999999E-3</v>
      </c>
      <c r="L88" s="534">
        <v>1.5146000000000001E-3</v>
      </c>
      <c r="M88" s="534">
        <v>1.6018E-3</v>
      </c>
      <c r="N88">
        <v>1.5962000000000001E-3</v>
      </c>
      <c r="O88">
        <v>1.7543000000000001E-3</v>
      </c>
      <c r="P88">
        <v>1.7315E-3</v>
      </c>
      <c r="Q88">
        <v>1.7067E-3</v>
      </c>
      <c r="R88">
        <v>1.7194000000000001E-3</v>
      </c>
      <c r="S88">
        <v>1.7409999999999999E-3</v>
      </c>
      <c r="T88">
        <v>1.7187999999999999E-3</v>
      </c>
      <c r="U88">
        <v>1.6417999999999999E-3</v>
      </c>
      <c r="V88">
        <v>1.5403000000000001E-3</v>
      </c>
      <c r="W88">
        <v>1.4082000000000001E-3</v>
      </c>
      <c r="X88">
        <v>1.3897E-3</v>
      </c>
      <c r="Y88">
        <v>1.3481999999999999E-3</v>
      </c>
      <c r="Z88">
        <v>1.5979E-3</v>
      </c>
      <c r="AA88">
        <v>1.5357999999999999E-3</v>
      </c>
      <c r="AB88">
        <v>1.4729999999999999E-3</v>
      </c>
      <c r="AC88">
        <v>1.5579000000000001E-3</v>
      </c>
      <c r="AD88">
        <v>1.4931E-3</v>
      </c>
    </row>
    <row r="89" spans="1:30">
      <c r="A89">
        <v>395</v>
      </c>
      <c r="B89" t="s">
        <v>80</v>
      </c>
      <c r="C89" s="534">
        <v>3.8600000000000003E-5</v>
      </c>
      <c r="D89" s="534">
        <v>3.9199999999999997E-5</v>
      </c>
      <c r="E89" s="534">
        <v>4.0500000000000002E-5</v>
      </c>
      <c r="F89" s="534">
        <v>4.07E-5</v>
      </c>
      <c r="G89" s="534">
        <v>3.6900000000000002E-5</v>
      </c>
      <c r="H89" s="534">
        <v>3.5500000000000002E-5</v>
      </c>
      <c r="I89" s="534">
        <v>3.6600000000000002E-5</v>
      </c>
      <c r="J89" s="534">
        <v>3.79E-5</v>
      </c>
      <c r="K89" s="534">
        <v>3.8600000000000003E-5</v>
      </c>
      <c r="L89" s="534">
        <v>3.8600000000000003E-5</v>
      </c>
      <c r="M89" s="534">
        <v>4.2899999999999999E-5</v>
      </c>
      <c r="N89">
        <v>4.9599999999999999E-5</v>
      </c>
      <c r="O89">
        <v>4.9700000000000002E-5</v>
      </c>
      <c r="P89">
        <v>4.3800000000000001E-5</v>
      </c>
      <c r="Q89">
        <v>4.35E-5</v>
      </c>
      <c r="R89">
        <v>4.2700000000000001E-5</v>
      </c>
      <c r="S89">
        <v>4.18E-5</v>
      </c>
      <c r="T89">
        <v>4.1300000000000001E-5</v>
      </c>
      <c r="U89">
        <v>4.2400000000000001E-5</v>
      </c>
      <c r="V89">
        <v>4.3699999999999998E-5</v>
      </c>
      <c r="W89">
        <v>5.1600000000000001E-5</v>
      </c>
      <c r="X89">
        <v>5.1700000000000003E-5</v>
      </c>
      <c r="Y89">
        <v>5.0899999999999997E-5</v>
      </c>
      <c r="Z89">
        <v>4.8099999999999997E-5</v>
      </c>
      <c r="AA89">
        <v>4.57E-5</v>
      </c>
      <c r="AB89">
        <v>4.6699999999999997E-5</v>
      </c>
      <c r="AC89">
        <v>3.9700000000000003E-5</v>
      </c>
      <c r="AD89">
        <v>4.3099999999999997E-5</v>
      </c>
    </row>
    <row r="90" spans="1:30">
      <c r="A90">
        <v>402</v>
      </c>
      <c r="B90" t="s">
        <v>81</v>
      </c>
      <c r="C90" s="534">
        <v>3.6399999999999997E-5</v>
      </c>
      <c r="D90" s="534">
        <v>3.5599999999999998E-5</v>
      </c>
      <c r="E90" s="534">
        <v>4.2400000000000001E-5</v>
      </c>
      <c r="F90" s="534">
        <v>4.3300000000000002E-5</v>
      </c>
      <c r="G90" s="534">
        <v>5.66E-5</v>
      </c>
      <c r="H90" s="534">
        <v>5.66E-5</v>
      </c>
      <c r="I90" s="534">
        <v>4.1900000000000002E-5</v>
      </c>
      <c r="J90" s="534">
        <v>4.2200000000000003E-5</v>
      </c>
      <c r="K90" s="534">
        <v>3.3800000000000002E-5</v>
      </c>
      <c r="L90" s="534">
        <v>3.3899999999999997E-5</v>
      </c>
      <c r="M90" s="534">
        <v>1.9899999999999999E-5</v>
      </c>
      <c r="N90">
        <v>1.8099999999999999E-5</v>
      </c>
      <c r="O90">
        <v>1.8600000000000001E-5</v>
      </c>
      <c r="P90">
        <v>1.88E-5</v>
      </c>
      <c r="Q90">
        <v>1.9300000000000002E-5</v>
      </c>
      <c r="R90">
        <v>1.95E-5</v>
      </c>
      <c r="S90">
        <v>1.98E-5</v>
      </c>
      <c r="T90">
        <v>2.0000000000000002E-5</v>
      </c>
      <c r="U90">
        <v>2.02E-5</v>
      </c>
      <c r="V90">
        <v>2.09E-5</v>
      </c>
      <c r="W90">
        <v>2.0400000000000001E-5</v>
      </c>
      <c r="X90">
        <v>2.1299999999999999E-5</v>
      </c>
      <c r="Y90">
        <v>2.1500000000000001E-5</v>
      </c>
      <c r="Z90">
        <v>2.16E-5</v>
      </c>
      <c r="AA90">
        <v>2.1800000000000001E-5</v>
      </c>
      <c r="AB90">
        <v>2.1999999999999999E-5</v>
      </c>
      <c r="AC90">
        <v>2.19E-5</v>
      </c>
      <c r="AD90">
        <v>2.2099999999999998E-5</v>
      </c>
    </row>
    <row r="91" spans="1:30">
      <c r="A91">
        <v>403</v>
      </c>
      <c r="B91" t="s">
        <v>82</v>
      </c>
      <c r="C91" s="23">
        <v>3.8399999999999997E-6</v>
      </c>
      <c r="D91" s="534">
        <v>1.8899999999999999E-5</v>
      </c>
      <c r="E91" s="534">
        <v>1.91E-5</v>
      </c>
      <c r="F91" s="534">
        <v>1.91E-5</v>
      </c>
      <c r="G91" s="534">
        <v>1.8600000000000001E-5</v>
      </c>
      <c r="H91" s="534">
        <v>1.8600000000000001E-5</v>
      </c>
      <c r="I91" s="534">
        <v>1.1399999999999999E-5</v>
      </c>
      <c r="J91" s="534">
        <v>1.15E-5</v>
      </c>
      <c r="K91" s="534">
        <v>1.1399999999999999E-5</v>
      </c>
      <c r="L91" s="534">
        <v>1.1399999999999999E-5</v>
      </c>
      <c r="M91" s="534">
        <v>1.1399999999999999E-5</v>
      </c>
      <c r="N91">
        <v>1.2300000000000001E-5</v>
      </c>
      <c r="O91">
        <v>1.2500000000000001E-5</v>
      </c>
      <c r="P91">
        <v>1.2799999999999999E-5</v>
      </c>
      <c r="Q91">
        <v>1.0900000000000001E-5</v>
      </c>
      <c r="R91">
        <v>1.1E-5</v>
      </c>
      <c r="S91">
        <v>1.1600000000000001E-5</v>
      </c>
      <c r="T91">
        <v>1.15E-5</v>
      </c>
      <c r="U91">
        <v>1.19E-5</v>
      </c>
      <c r="V91">
        <v>1.17E-5</v>
      </c>
      <c r="W91" s="23">
        <v>6.1099999999999999E-6</v>
      </c>
      <c r="X91" s="23">
        <v>6.0599999999999996E-6</v>
      </c>
      <c r="Y91" s="23">
        <v>5.7100000000000004E-6</v>
      </c>
      <c r="Z91" s="23">
        <v>5.7599999999999999E-6</v>
      </c>
      <c r="AA91" s="23">
        <v>5.8100000000000003E-6</v>
      </c>
      <c r="AB91" s="23">
        <v>5.8599999999999998E-6</v>
      </c>
      <c r="AC91" s="23">
        <v>5.9100000000000002E-6</v>
      </c>
      <c r="AD91" s="23">
        <v>5.9499999999999998E-6</v>
      </c>
    </row>
    <row r="92" spans="1:30">
      <c r="A92">
        <v>404</v>
      </c>
      <c r="B92" t="s">
        <v>83</v>
      </c>
      <c r="C92" s="534">
        <v>7.7600000000000002E-5</v>
      </c>
      <c r="D92" s="534">
        <v>1.2549999999999999E-4</v>
      </c>
      <c r="E92" s="534">
        <v>1.075E-4</v>
      </c>
      <c r="F92" s="534">
        <v>1.094E-4</v>
      </c>
      <c r="G92" s="534">
        <v>1.165E-4</v>
      </c>
      <c r="H92" s="534">
        <v>1.165E-4</v>
      </c>
      <c r="I92" s="534">
        <v>1.148E-4</v>
      </c>
      <c r="J92" s="534">
        <v>1.147E-4</v>
      </c>
      <c r="K92" s="534">
        <v>1.2870000000000001E-4</v>
      </c>
      <c r="L92" s="534">
        <v>1.082E-4</v>
      </c>
      <c r="M92" s="534">
        <v>1.197E-4</v>
      </c>
      <c r="N92">
        <v>1.5210000000000001E-4</v>
      </c>
      <c r="O92">
        <v>1.485E-4</v>
      </c>
      <c r="P92">
        <v>1.517E-4</v>
      </c>
      <c r="Q92">
        <v>1.014E-4</v>
      </c>
      <c r="R92">
        <v>1.02E-4</v>
      </c>
      <c r="S92">
        <v>1.0349999999999999E-4</v>
      </c>
      <c r="T92">
        <v>1.039E-4</v>
      </c>
      <c r="U92">
        <v>1.061E-4</v>
      </c>
      <c r="V92">
        <v>1.064E-4</v>
      </c>
      <c r="W92">
        <v>1.06E-4</v>
      </c>
      <c r="X92">
        <v>1.259E-4</v>
      </c>
      <c r="Y92">
        <v>1.2640000000000001E-4</v>
      </c>
      <c r="Z92">
        <v>1.2579999999999999E-4</v>
      </c>
      <c r="AA92">
        <v>1.2870000000000001E-4</v>
      </c>
      <c r="AB92">
        <v>1.304E-4</v>
      </c>
      <c r="AC92">
        <v>1.3019999999999999E-4</v>
      </c>
      <c r="AD92">
        <v>1.317E-4</v>
      </c>
    </row>
    <row r="93" spans="1:30">
      <c r="A93">
        <v>411</v>
      </c>
      <c r="B93" t="s">
        <v>84</v>
      </c>
      <c r="C93" s="534">
        <v>4.71E-5</v>
      </c>
      <c r="D93" s="534">
        <v>4.7500000000000003E-5</v>
      </c>
      <c r="E93" s="534">
        <v>4.9200000000000003E-5</v>
      </c>
      <c r="F93" s="534">
        <v>5.8300000000000001E-5</v>
      </c>
      <c r="G93" s="534">
        <v>6.5500000000000006E-5</v>
      </c>
      <c r="H93" s="534">
        <v>6.6699999999999995E-5</v>
      </c>
      <c r="I93" s="534">
        <v>5.5300000000000002E-5</v>
      </c>
      <c r="J93" s="534">
        <v>5.1700000000000003E-5</v>
      </c>
      <c r="K93" s="534">
        <v>4.1199999999999999E-5</v>
      </c>
      <c r="L93" s="534">
        <v>3.8800000000000001E-5</v>
      </c>
      <c r="M93" s="534">
        <v>3.8399999999999998E-5</v>
      </c>
      <c r="N93">
        <v>4.0399999999999999E-5</v>
      </c>
      <c r="O93">
        <v>4.1300000000000001E-5</v>
      </c>
      <c r="P93">
        <v>4.1399999999999997E-5</v>
      </c>
      <c r="Q93">
        <v>3.4999999999999997E-5</v>
      </c>
      <c r="R93">
        <v>3.9799999999999998E-5</v>
      </c>
      <c r="S93">
        <v>4.0200000000000001E-5</v>
      </c>
      <c r="T93">
        <v>4.2799999999999997E-5</v>
      </c>
      <c r="U93">
        <v>4.4700000000000002E-5</v>
      </c>
      <c r="V93">
        <v>4.71E-5</v>
      </c>
      <c r="W93">
        <v>4.6499999999999999E-5</v>
      </c>
      <c r="X93">
        <v>6.5699999999999998E-5</v>
      </c>
      <c r="Y93">
        <v>9.4099999999999997E-5</v>
      </c>
      <c r="Z93">
        <v>9.6600000000000003E-5</v>
      </c>
      <c r="AA93">
        <v>1.0399999999999999E-4</v>
      </c>
      <c r="AB93">
        <v>1.055E-4</v>
      </c>
      <c r="AC93">
        <v>1.064E-4</v>
      </c>
      <c r="AD93">
        <v>1.087E-4</v>
      </c>
    </row>
    <row r="94" spans="1:30">
      <c r="A94">
        <v>420</v>
      </c>
      <c r="B94" t="s">
        <v>85</v>
      </c>
      <c r="C94" s="534">
        <v>2.4000000000000001E-5</v>
      </c>
      <c r="D94" s="534">
        <v>3.0899999999999999E-5</v>
      </c>
      <c r="E94" s="534">
        <v>3.0599999999999998E-5</v>
      </c>
      <c r="F94" s="534">
        <v>3.4100000000000002E-5</v>
      </c>
      <c r="G94" s="534">
        <v>3.8699999999999999E-5</v>
      </c>
      <c r="H94" s="534">
        <v>3.3099999999999998E-5</v>
      </c>
      <c r="I94" s="534">
        <v>3.9900000000000001E-5</v>
      </c>
      <c r="J94" s="534">
        <v>3.4100000000000002E-5</v>
      </c>
      <c r="K94" s="534">
        <v>3.5099999999999999E-5</v>
      </c>
      <c r="L94" s="534">
        <v>4.1499999999999999E-5</v>
      </c>
      <c r="M94" s="534">
        <v>5.02E-5</v>
      </c>
      <c r="N94">
        <v>5.3000000000000001E-5</v>
      </c>
      <c r="O94">
        <v>4.21E-5</v>
      </c>
      <c r="P94">
        <v>4.0399999999999999E-5</v>
      </c>
      <c r="Q94">
        <v>4.35E-5</v>
      </c>
      <c r="R94">
        <v>4.4199999999999997E-5</v>
      </c>
      <c r="S94">
        <v>4.4700000000000002E-5</v>
      </c>
      <c r="T94">
        <v>4.5200000000000001E-5</v>
      </c>
      <c r="U94">
        <v>4.6699999999999997E-5</v>
      </c>
      <c r="V94">
        <v>4.7500000000000003E-5</v>
      </c>
      <c r="W94">
        <v>4.5599999999999997E-5</v>
      </c>
      <c r="X94">
        <v>4.8999999999999998E-5</v>
      </c>
      <c r="Y94">
        <v>4.8600000000000002E-5</v>
      </c>
      <c r="Z94">
        <v>4.8000000000000001E-5</v>
      </c>
      <c r="AA94">
        <v>4.7599999999999998E-5</v>
      </c>
      <c r="AB94">
        <v>4.7599999999999998E-5</v>
      </c>
      <c r="AC94">
        <v>4.8900000000000003E-5</v>
      </c>
      <c r="AD94">
        <v>5.0500000000000001E-5</v>
      </c>
    </row>
    <row r="95" spans="1:30">
      <c r="A95">
        <v>432</v>
      </c>
      <c r="B95" t="s">
        <v>86</v>
      </c>
      <c r="C95" s="534">
        <v>4.258E-4</v>
      </c>
      <c r="D95" s="534">
        <v>4.3770000000000001E-4</v>
      </c>
      <c r="E95" s="534">
        <v>4.3960000000000001E-4</v>
      </c>
      <c r="F95" s="534">
        <v>4.4270000000000003E-4</v>
      </c>
      <c r="G95" s="534">
        <v>4.4000000000000002E-4</v>
      </c>
      <c r="H95" s="534">
        <v>4.3889999999999999E-4</v>
      </c>
      <c r="I95" s="534">
        <v>4.1649999999999999E-4</v>
      </c>
      <c r="J95" s="534">
        <v>4.2339999999999999E-4</v>
      </c>
      <c r="K95" s="534">
        <v>4.2279999999999998E-4</v>
      </c>
      <c r="L95" s="534">
        <v>4.2240000000000002E-4</v>
      </c>
      <c r="M95" s="534">
        <v>4.4339999999999999E-4</v>
      </c>
      <c r="N95">
        <v>4.9669999999999998E-4</v>
      </c>
      <c r="O95">
        <v>5.061E-4</v>
      </c>
      <c r="P95">
        <v>5.1170000000000002E-4</v>
      </c>
      <c r="Q95">
        <v>5.153E-4</v>
      </c>
      <c r="R95">
        <v>5.2059999999999997E-4</v>
      </c>
      <c r="S95">
        <v>5.1029999999999999E-4</v>
      </c>
      <c r="T95">
        <v>5.1650000000000003E-4</v>
      </c>
      <c r="U95">
        <v>4.9220000000000004E-4</v>
      </c>
      <c r="V95">
        <v>4.9540000000000001E-4</v>
      </c>
      <c r="W95">
        <v>4.8250000000000002E-4</v>
      </c>
      <c r="X95">
        <v>4.663E-4</v>
      </c>
      <c r="Y95">
        <v>4.7169999999999997E-4</v>
      </c>
      <c r="Z95">
        <v>4.7219999999999999E-4</v>
      </c>
      <c r="AA95">
        <v>4.8819999999999999E-4</v>
      </c>
      <c r="AB95">
        <v>4.9830000000000002E-4</v>
      </c>
      <c r="AC95">
        <v>5.0520000000000003E-4</v>
      </c>
      <c r="AD95">
        <v>5.1610000000000002E-4</v>
      </c>
    </row>
    <row r="96" spans="1:30">
      <c r="A96">
        <v>433</v>
      </c>
      <c r="B96" t="s">
        <v>87</v>
      </c>
      <c r="C96" s="534">
        <v>5.2820000000000005E-4</v>
      </c>
      <c r="D96" s="534">
        <v>5.6899999999999995E-4</v>
      </c>
      <c r="E96" s="534">
        <v>5.8430000000000005E-4</v>
      </c>
      <c r="F96" s="534">
        <v>5.844E-4</v>
      </c>
      <c r="G96" s="534">
        <v>5.7510000000000005E-4</v>
      </c>
      <c r="H96" s="534">
        <v>5.8160000000000004E-4</v>
      </c>
      <c r="I96" s="534">
        <v>6.0159999999999999E-4</v>
      </c>
      <c r="J96" s="534">
        <v>6.1810000000000001E-4</v>
      </c>
      <c r="K96" s="534">
        <v>6.0400000000000004E-4</v>
      </c>
      <c r="L96" s="534">
        <v>6.3119999999999995E-4</v>
      </c>
      <c r="M96" s="534">
        <v>6.602E-4</v>
      </c>
      <c r="N96">
        <v>6.9769999999999999E-4</v>
      </c>
      <c r="O96">
        <v>7.2250000000000005E-4</v>
      </c>
      <c r="P96">
        <v>6.9890000000000002E-4</v>
      </c>
      <c r="Q96">
        <v>6.5099999999999999E-4</v>
      </c>
      <c r="R96">
        <v>6.4709999999999995E-4</v>
      </c>
      <c r="S96">
        <v>6.399E-4</v>
      </c>
      <c r="T96">
        <v>6.3360000000000001E-4</v>
      </c>
      <c r="U96">
        <v>6.2810000000000003E-4</v>
      </c>
      <c r="V96">
        <v>6.2100000000000002E-4</v>
      </c>
      <c r="W96">
        <v>5.9069999999999999E-4</v>
      </c>
      <c r="X96">
        <v>6.1019999999999998E-4</v>
      </c>
      <c r="Y96">
        <v>6.0970000000000002E-4</v>
      </c>
      <c r="Z96">
        <v>6.4139999999999998E-4</v>
      </c>
      <c r="AA96">
        <v>6.6359999999999998E-4</v>
      </c>
      <c r="AB96">
        <v>6.7179999999999996E-4</v>
      </c>
      <c r="AC96">
        <v>6.8059999999999996E-4</v>
      </c>
      <c r="AD96">
        <v>6.9680000000000002E-4</v>
      </c>
    </row>
    <row r="97" spans="1:30">
      <c r="A97">
        <v>434</v>
      </c>
      <c r="B97" t="s">
        <v>88</v>
      </c>
      <c r="C97" s="534">
        <v>2.6610000000000002E-4</v>
      </c>
      <c r="D97" s="534">
        <v>2.8439999999999997E-4</v>
      </c>
      <c r="E97" s="534">
        <v>2.901E-4</v>
      </c>
      <c r="F97" s="534">
        <v>2.9550000000000003E-4</v>
      </c>
      <c r="G97" s="534">
        <v>2.9369999999999998E-4</v>
      </c>
      <c r="H97" s="534">
        <v>2.9999999999999997E-4</v>
      </c>
      <c r="I97" s="534">
        <v>2.9379999999999999E-4</v>
      </c>
      <c r="J97" s="534">
        <v>2.9740000000000002E-4</v>
      </c>
      <c r="K97" s="534">
        <v>3.0889999999999997E-4</v>
      </c>
      <c r="L97" s="534">
        <v>3.1559999999999997E-4</v>
      </c>
      <c r="M97" s="534">
        <v>3.235E-4</v>
      </c>
      <c r="N97">
        <v>3.4170000000000001E-4</v>
      </c>
      <c r="O97">
        <v>3.502E-4</v>
      </c>
      <c r="P97">
        <v>4.1300000000000001E-4</v>
      </c>
      <c r="Q97">
        <v>3.4640000000000002E-4</v>
      </c>
      <c r="R97">
        <v>3.4509999999999999E-4</v>
      </c>
      <c r="S97">
        <v>3.4529999999999999E-4</v>
      </c>
      <c r="T97">
        <v>3.4440000000000002E-4</v>
      </c>
      <c r="U97">
        <v>3.589E-4</v>
      </c>
      <c r="V97">
        <v>3.3940000000000001E-4</v>
      </c>
      <c r="W97">
        <v>3.165E-4</v>
      </c>
      <c r="X97">
        <v>3.3030000000000001E-4</v>
      </c>
      <c r="Y97">
        <v>3.3809999999999998E-4</v>
      </c>
      <c r="Z97">
        <v>3.3740000000000002E-4</v>
      </c>
      <c r="AA97">
        <v>3.4180000000000001E-4</v>
      </c>
      <c r="AB97">
        <v>3.4749999999999999E-4</v>
      </c>
      <c r="AC97">
        <v>3.569E-4</v>
      </c>
      <c r="AD97">
        <v>3.6989999999999999E-4</v>
      </c>
    </row>
    <row r="98" spans="1:30">
      <c r="A98">
        <v>435</v>
      </c>
      <c r="B98" t="s">
        <v>89</v>
      </c>
      <c r="C98" s="534">
        <v>1.495E-4</v>
      </c>
      <c r="D98" s="534">
        <v>1.66E-4</v>
      </c>
      <c r="E98" s="534">
        <v>1.9259999999999999E-4</v>
      </c>
      <c r="F98" s="534">
        <v>1.894E-4</v>
      </c>
      <c r="G98" s="534">
        <v>1.8359999999999999E-4</v>
      </c>
      <c r="H98" s="534">
        <v>1.8550000000000001E-4</v>
      </c>
      <c r="I98" s="534">
        <v>1.916E-4</v>
      </c>
      <c r="J98" s="534">
        <v>2.1049999999999999E-4</v>
      </c>
      <c r="K98" s="534">
        <v>2.5470000000000001E-4</v>
      </c>
      <c r="L98" s="534">
        <v>2.3230000000000001E-4</v>
      </c>
      <c r="M98" s="534">
        <v>2.7849999999999999E-4</v>
      </c>
      <c r="N98">
        <v>2.5230000000000001E-4</v>
      </c>
      <c r="O98">
        <v>2.5399999999999999E-4</v>
      </c>
      <c r="P98">
        <v>2.5369999999999999E-4</v>
      </c>
      <c r="Q98">
        <v>2.565E-4</v>
      </c>
      <c r="R98">
        <v>2.5700000000000001E-4</v>
      </c>
      <c r="S98">
        <v>2.587E-4</v>
      </c>
      <c r="T98">
        <v>2.5809999999999999E-4</v>
      </c>
      <c r="U98">
        <v>2.5470000000000001E-4</v>
      </c>
      <c r="V98">
        <v>2.542E-4</v>
      </c>
      <c r="W98">
        <v>2.542E-4</v>
      </c>
      <c r="X98">
        <v>2.631E-4</v>
      </c>
      <c r="Y98">
        <v>2.6150000000000001E-4</v>
      </c>
      <c r="Z98">
        <v>2.5809999999999999E-4</v>
      </c>
      <c r="AA98">
        <v>2.5579999999999998E-4</v>
      </c>
      <c r="AB98">
        <v>2.5779999999999998E-4</v>
      </c>
      <c r="AC98">
        <v>2.6650000000000003E-4</v>
      </c>
      <c r="AD98">
        <v>2.699E-4</v>
      </c>
    </row>
    <row r="99" spans="1:30">
      <c r="A99">
        <v>436</v>
      </c>
      <c r="B99" t="s">
        <v>90</v>
      </c>
      <c r="C99" s="534">
        <v>2.854E-4</v>
      </c>
      <c r="D99" s="534">
        <v>3.0820000000000001E-4</v>
      </c>
      <c r="E99" s="534">
        <v>3.0909999999999998E-4</v>
      </c>
      <c r="F99" s="534">
        <v>3.1530000000000002E-4</v>
      </c>
      <c r="G99" s="534">
        <v>3.1480000000000001E-4</v>
      </c>
      <c r="H99" s="534">
        <v>3.2089999999999999E-4</v>
      </c>
      <c r="I99" s="534">
        <v>3.3340000000000003E-4</v>
      </c>
      <c r="J99" s="534">
        <v>3.567E-4</v>
      </c>
      <c r="K99" s="534">
        <v>3.6640000000000002E-4</v>
      </c>
      <c r="L99" s="534">
        <v>3.7280000000000001E-4</v>
      </c>
      <c r="M99" s="534">
        <v>3.8620000000000001E-4</v>
      </c>
      <c r="N99">
        <v>3.9669999999999999E-4</v>
      </c>
      <c r="O99">
        <v>4.0479999999999997E-4</v>
      </c>
      <c r="P99">
        <v>4.015E-4</v>
      </c>
      <c r="Q99">
        <v>4.1310000000000001E-4</v>
      </c>
      <c r="R99">
        <v>4.1829999999999998E-4</v>
      </c>
      <c r="S99">
        <v>4.2269999999999997E-4</v>
      </c>
      <c r="T99">
        <v>4.2759999999999999E-4</v>
      </c>
      <c r="U99">
        <v>4.4220000000000001E-4</v>
      </c>
      <c r="V99">
        <v>4.4729999999999998E-4</v>
      </c>
      <c r="W99">
        <v>4.439E-4</v>
      </c>
      <c r="X99">
        <v>4.5560000000000002E-4</v>
      </c>
      <c r="Y99">
        <v>4.6069999999999998E-4</v>
      </c>
      <c r="Z99">
        <v>4.6069999999999998E-4</v>
      </c>
      <c r="AA99">
        <v>4.7619999999999997E-4</v>
      </c>
      <c r="AB99">
        <v>4.8500000000000003E-4</v>
      </c>
      <c r="AC99">
        <v>4.9370000000000002E-4</v>
      </c>
      <c r="AD99">
        <v>5.0500000000000002E-4</v>
      </c>
    </row>
    <row r="100" spans="1:30">
      <c r="A100">
        <v>437</v>
      </c>
      <c r="B100" t="s">
        <v>91</v>
      </c>
      <c r="C100" s="534">
        <v>7.4609999999999998E-4</v>
      </c>
      <c r="D100" s="534">
        <v>7.6519999999999995E-4</v>
      </c>
      <c r="E100" s="534">
        <v>7.9690000000000002E-4</v>
      </c>
      <c r="F100" s="534">
        <v>8.2129999999999996E-4</v>
      </c>
      <c r="G100" s="534">
        <v>8.0429999999999998E-4</v>
      </c>
      <c r="H100" s="534">
        <v>8.3779999999999998E-4</v>
      </c>
      <c r="I100" s="534">
        <v>8.5059999999999997E-4</v>
      </c>
      <c r="J100" s="534">
        <v>8.7810000000000004E-4</v>
      </c>
      <c r="K100" s="534">
        <v>8.9780000000000003E-4</v>
      </c>
      <c r="L100" s="534">
        <v>9.1529999999999997E-4</v>
      </c>
      <c r="M100" s="534">
        <v>9.1469999999999995E-4</v>
      </c>
      <c r="N100">
        <v>9.5520000000000002E-4</v>
      </c>
      <c r="O100">
        <v>9.6500000000000004E-4</v>
      </c>
      <c r="P100">
        <v>9.7639999999999999E-4</v>
      </c>
      <c r="Q100">
        <v>9.6330000000000005E-4</v>
      </c>
      <c r="R100">
        <v>9.7839999999999993E-4</v>
      </c>
      <c r="S100">
        <v>9.8719999999999993E-4</v>
      </c>
      <c r="T100">
        <v>9.6049999999999998E-4</v>
      </c>
      <c r="U100">
        <v>9.5529999999999996E-4</v>
      </c>
      <c r="V100">
        <v>9.5220000000000005E-4</v>
      </c>
      <c r="W100">
        <v>8.8750000000000005E-4</v>
      </c>
      <c r="X100">
        <v>9.9989999999999996E-4</v>
      </c>
      <c r="Y100">
        <v>1.0702999999999999E-3</v>
      </c>
      <c r="Z100">
        <v>1.0471E-3</v>
      </c>
      <c r="AA100">
        <v>1.1169000000000001E-3</v>
      </c>
      <c r="AB100">
        <v>1.1379999999999999E-3</v>
      </c>
      <c r="AC100">
        <v>1.1565E-3</v>
      </c>
      <c r="AD100">
        <v>1.1731999999999999E-3</v>
      </c>
    </row>
    <row r="101" spans="1:30">
      <c r="A101">
        <v>438</v>
      </c>
      <c r="B101" t="s">
        <v>92</v>
      </c>
      <c r="C101" s="534">
        <v>5.0699999999999996E-4</v>
      </c>
      <c r="D101" s="534">
        <v>4.3689999999999999E-4</v>
      </c>
      <c r="E101" s="534">
        <v>4.415E-4</v>
      </c>
      <c r="F101" s="534">
        <v>4.3100000000000001E-4</v>
      </c>
      <c r="G101" s="534">
        <v>4.1980000000000001E-4</v>
      </c>
      <c r="H101" s="534">
        <v>4.9229999999999999E-4</v>
      </c>
      <c r="I101" s="534">
        <v>4.6450000000000001E-4</v>
      </c>
      <c r="J101" s="534">
        <v>4.6870000000000001E-4</v>
      </c>
      <c r="K101" s="534">
        <v>3.4450000000000003E-4</v>
      </c>
      <c r="L101" s="534">
        <v>3.6029999999999998E-4</v>
      </c>
      <c r="M101" s="534">
        <v>3.814E-4</v>
      </c>
      <c r="N101">
        <v>4.057E-4</v>
      </c>
      <c r="O101">
        <v>4.863E-4</v>
      </c>
      <c r="P101">
        <v>4.2509999999999998E-4</v>
      </c>
      <c r="Q101">
        <v>4.1320000000000001E-4</v>
      </c>
      <c r="R101">
        <v>4.2709999999999997E-4</v>
      </c>
      <c r="S101">
        <v>4.2969999999999998E-4</v>
      </c>
      <c r="T101">
        <v>4.1800000000000002E-4</v>
      </c>
      <c r="U101">
        <v>4.1199999999999999E-4</v>
      </c>
      <c r="V101">
        <v>4.171E-4</v>
      </c>
      <c r="W101">
        <v>3.9589999999999997E-4</v>
      </c>
      <c r="X101">
        <v>3.991E-4</v>
      </c>
      <c r="Y101">
        <v>4.217E-4</v>
      </c>
      <c r="Z101">
        <v>4.2309999999999998E-4</v>
      </c>
      <c r="AA101">
        <v>4.3310000000000001E-4</v>
      </c>
      <c r="AB101">
        <v>4.2769999999999999E-4</v>
      </c>
      <c r="AC101">
        <v>4.347E-4</v>
      </c>
      <c r="AD101">
        <v>4.5830000000000003E-4</v>
      </c>
    </row>
    <row r="102" spans="1:30">
      <c r="A102">
        <v>439</v>
      </c>
      <c r="B102" t="s">
        <v>93</v>
      </c>
      <c r="C102" s="534">
        <v>3.6689999999999997E-4</v>
      </c>
      <c r="D102" s="534">
        <v>3.8900000000000002E-4</v>
      </c>
      <c r="E102" s="534">
        <v>3.9970000000000001E-4</v>
      </c>
      <c r="F102" s="534">
        <v>4.3750000000000001E-4</v>
      </c>
      <c r="G102" s="534">
        <v>4.4250000000000002E-4</v>
      </c>
      <c r="H102" s="534">
        <v>4.5800000000000002E-4</v>
      </c>
      <c r="I102" s="534">
        <v>4.6319999999999998E-4</v>
      </c>
      <c r="J102" s="534">
        <v>4.6949999999999997E-4</v>
      </c>
      <c r="K102" s="534">
        <v>4.6789999999999999E-4</v>
      </c>
      <c r="L102" s="534">
        <v>4.7839999999999997E-4</v>
      </c>
      <c r="M102" s="534">
        <v>4.9490000000000005E-4</v>
      </c>
      <c r="N102">
        <v>5.1940000000000005E-4</v>
      </c>
      <c r="O102">
        <v>5.2919999999999996E-4</v>
      </c>
      <c r="P102">
        <v>5.107E-4</v>
      </c>
      <c r="Q102">
        <v>5.1480000000000004E-4</v>
      </c>
      <c r="R102">
        <v>5.1880000000000003E-4</v>
      </c>
      <c r="S102">
        <v>5.2899999999999996E-4</v>
      </c>
      <c r="T102">
        <v>5.3169999999999997E-4</v>
      </c>
      <c r="U102">
        <v>5.3830000000000002E-4</v>
      </c>
      <c r="V102">
        <v>5.3140000000000001E-4</v>
      </c>
      <c r="W102">
        <v>5.1099999999999995E-4</v>
      </c>
      <c r="X102">
        <v>5.2800000000000004E-4</v>
      </c>
      <c r="Y102">
        <v>5.2999999999999998E-4</v>
      </c>
      <c r="Z102">
        <v>5.3319999999999995E-4</v>
      </c>
      <c r="AA102">
        <v>5.4370000000000004E-4</v>
      </c>
      <c r="AB102">
        <v>5.5159999999999996E-4</v>
      </c>
      <c r="AC102">
        <v>6.0789999999999998E-4</v>
      </c>
      <c r="AD102">
        <v>6.447E-4</v>
      </c>
    </row>
    <row r="103" spans="1:30">
      <c r="A103">
        <v>450</v>
      </c>
      <c r="B103" t="s">
        <v>94</v>
      </c>
      <c r="C103" s="534">
        <v>2.051E-4</v>
      </c>
      <c r="D103" s="534">
        <v>1.9589999999999999E-4</v>
      </c>
      <c r="E103" s="534">
        <v>1.8320000000000001E-4</v>
      </c>
      <c r="F103" s="534">
        <v>1.8239999999999999E-4</v>
      </c>
      <c r="G103" s="534">
        <v>1.886E-4</v>
      </c>
      <c r="H103" s="534">
        <v>1.883E-4</v>
      </c>
      <c r="I103" s="534">
        <v>1.908E-4</v>
      </c>
      <c r="J103" s="534">
        <v>1.8990000000000001E-4</v>
      </c>
      <c r="K103" s="534">
        <v>1.9210000000000001E-4</v>
      </c>
      <c r="L103" s="534">
        <v>1.9570000000000001E-4</v>
      </c>
      <c r="M103" s="534">
        <v>1.9599999999999999E-4</v>
      </c>
      <c r="N103">
        <v>1.8540000000000001E-4</v>
      </c>
      <c r="O103">
        <v>1.8909999999999999E-4</v>
      </c>
      <c r="P103">
        <v>1.571E-4</v>
      </c>
      <c r="Q103">
        <v>1.73E-4</v>
      </c>
      <c r="R103">
        <v>1.773E-4</v>
      </c>
      <c r="S103">
        <v>1.796E-4</v>
      </c>
      <c r="T103">
        <v>1.828E-4</v>
      </c>
      <c r="U103">
        <v>1.785E-4</v>
      </c>
      <c r="V103">
        <v>1.92E-4</v>
      </c>
      <c r="W103">
        <v>2.7460000000000001E-4</v>
      </c>
      <c r="X103">
        <v>2.8210000000000003E-4</v>
      </c>
      <c r="Y103">
        <v>2.8210000000000003E-4</v>
      </c>
      <c r="Z103">
        <v>2.7920000000000001E-4</v>
      </c>
      <c r="AA103">
        <v>2.566E-4</v>
      </c>
      <c r="AB103">
        <v>1.9100000000000001E-4</v>
      </c>
      <c r="AC103">
        <v>3.4600000000000001E-4</v>
      </c>
      <c r="AD103">
        <v>2.231E-4</v>
      </c>
    </row>
    <row r="104" spans="1:30">
      <c r="A104">
        <v>451</v>
      </c>
      <c r="B104" t="s">
        <v>95</v>
      </c>
      <c r="C104" s="534">
        <v>2.063E-4</v>
      </c>
      <c r="D104" s="534">
        <v>2.206E-4</v>
      </c>
      <c r="E104" s="534">
        <v>2.231E-4</v>
      </c>
      <c r="F104" s="534">
        <v>2.3680000000000001E-4</v>
      </c>
      <c r="G104" s="534">
        <v>2.2130000000000001E-4</v>
      </c>
      <c r="H104" s="534">
        <v>2.3230000000000001E-4</v>
      </c>
      <c r="I104" s="534">
        <v>2.32E-4</v>
      </c>
      <c r="J104" s="534">
        <v>2.4340000000000001E-4</v>
      </c>
      <c r="K104" s="534">
        <v>2.3159999999999999E-4</v>
      </c>
      <c r="L104" s="534">
        <v>2.331E-4</v>
      </c>
      <c r="M104" s="534">
        <v>2.4049999999999999E-4</v>
      </c>
      <c r="N104">
        <v>2.4869999999999997E-4</v>
      </c>
      <c r="O104">
        <v>3.2029999999999998E-4</v>
      </c>
      <c r="P104">
        <v>2.4630000000000002E-4</v>
      </c>
      <c r="Q104">
        <v>2.5099999999999998E-4</v>
      </c>
      <c r="R104">
        <v>2.4850000000000002E-4</v>
      </c>
      <c r="S104">
        <v>2.4949999999999999E-4</v>
      </c>
      <c r="T104">
        <v>2.5230000000000001E-4</v>
      </c>
      <c r="U104">
        <v>2.43E-4</v>
      </c>
      <c r="V104">
        <v>2.341E-4</v>
      </c>
      <c r="W104">
        <v>2.3719999999999999E-4</v>
      </c>
      <c r="X104">
        <v>2.7030000000000001E-4</v>
      </c>
      <c r="Y104">
        <v>3.321E-4</v>
      </c>
      <c r="Z104">
        <v>3.2830000000000001E-4</v>
      </c>
      <c r="AA104">
        <v>3.3619999999999999E-4</v>
      </c>
      <c r="AB104">
        <v>3.3940000000000001E-4</v>
      </c>
      <c r="AC104">
        <v>4.0850000000000001E-4</v>
      </c>
      <c r="AD104">
        <v>3.9300000000000001E-4</v>
      </c>
    </row>
    <row r="105" spans="1:30">
      <c r="A105">
        <v>452</v>
      </c>
      <c r="B105" t="s">
        <v>96</v>
      </c>
      <c r="C105" s="534">
        <v>9.0059999999999999E-4</v>
      </c>
      <c r="D105" s="534">
        <v>9.2100000000000005E-4</v>
      </c>
      <c r="E105" s="534">
        <v>9.1339999999999998E-4</v>
      </c>
      <c r="F105" s="534">
        <v>9.0569999999999995E-4</v>
      </c>
      <c r="G105" s="534">
        <v>8.9090000000000003E-4</v>
      </c>
      <c r="H105" s="534">
        <v>8.9829999999999999E-4</v>
      </c>
      <c r="I105" s="534">
        <v>8.5800000000000004E-4</v>
      </c>
      <c r="J105" s="534">
        <v>8.6790000000000001E-4</v>
      </c>
      <c r="K105" s="534">
        <v>9.0370000000000001E-4</v>
      </c>
      <c r="L105" s="534">
        <v>9.2040000000000004E-4</v>
      </c>
      <c r="M105" s="534">
        <v>8.8099999999999995E-4</v>
      </c>
      <c r="N105">
        <v>9.1239999999999995E-4</v>
      </c>
      <c r="O105">
        <v>9.167E-4</v>
      </c>
      <c r="P105">
        <v>9.4030000000000003E-4</v>
      </c>
      <c r="Q105">
        <v>9.7460000000000005E-4</v>
      </c>
      <c r="R105">
        <v>9.9189999999999999E-4</v>
      </c>
      <c r="S105">
        <v>1.0020000000000001E-3</v>
      </c>
      <c r="T105">
        <v>1.0162999999999999E-3</v>
      </c>
      <c r="U105">
        <v>1.0418000000000001E-3</v>
      </c>
      <c r="V105">
        <v>1.0568000000000001E-3</v>
      </c>
      <c r="W105">
        <v>9.946E-4</v>
      </c>
      <c r="X105">
        <v>9.856000000000001E-4</v>
      </c>
      <c r="Y105">
        <v>9.946E-4</v>
      </c>
      <c r="Z105">
        <v>9.7750000000000007E-4</v>
      </c>
      <c r="AA105">
        <v>1.0097999999999999E-3</v>
      </c>
      <c r="AB105">
        <v>1.0248E-3</v>
      </c>
      <c r="AC105">
        <v>1.0319000000000001E-3</v>
      </c>
      <c r="AD105">
        <v>1.1087E-3</v>
      </c>
    </row>
    <row r="106" spans="1:30">
      <c r="A106">
        <v>461</v>
      </c>
      <c r="B106" t="s">
        <v>97</v>
      </c>
      <c r="C106" s="534">
        <v>2.1019999999999999E-4</v>
      </c>
      <c r="D106" s="534">
        <v>2.176E-4</v>
      </c>
      <c r="E106" s="534">
        <v>2.1670000000000001E-4</v>
      </c>
      <c r="F106" s="534">
        <v>2.2120000000000001E-4</v>
      </c>
      <c r="G106" s="534">
        <v>2.2139999999999999E-4</v>
      </c>
      <c r="H106" s="534">
        <v>2.243E-4</v>
      </c>
      <c r="I106" s="534">
        <v>2.2699999999999999E-4</v>
      </c>
      <c r="J106" s="534">
        <v>2.3709999999999999E-4</v>
      </c>
      <c r="K106" s="534">
        <v>2.252E-4</v>
      </c>
      <c r="L106" s="534">
        <v>2.3049999999999999E-4</v>
      </c>
      <c r="M106" s="534">
        <v>2.4279999999999999E-4</v>
      </c>
      <c r="N106">
        <v>2.5319999999999997E-4</v>
      </c>
      <c r="O106">
        <v>2.9819999999999998E-4</v>
      </c>
      <c r="P106">
        <v>2.6069999999999999E-4</v>
      </c>
      <c r="Q106">
        <v>2.5750000000000002E-4</v>
      </c>
      <c r="R106">
        <v>2.764E-4</v>
      </c>
      <c r="S106">
        <v>2.7970000000000002E-4</v>
      </c>
      <c r="T106">
        <v>2.9750000000000002E-4</v>
      </c>
      <c r="U106">
        <v>2.9329999999999997E-4</v>
      </c>
      <c r="V106">
        <v>2.8840000000000002E-4</v>
      </c>
      <c r="W106">
        <v>2.5819999999999999E-4</v>
      </c>
      <c r="X106">
        <v>2.8889999999999997E-4</v>
      </c>
      <c r="Y106">
        <v>2.8949999999999999E-4</v>
      </c>
      <c r="Z106">
        <v>2.7129999999999998E-4</v>
      </c>
      <c r="AA106">
        <v>2.787E-4</v>
      </c>
      <c r="AB106">
        <v>2.855E-4</v>
      </c>
      <c r="AC106">
        <v>2.9240000000000001E-4</v>
      </c>
      <c r="AD106">
        <v>2.9740000000000002E-4</v>
      </c>
    </row>
    <row r="107" spans="1:30">
      <c r="A107">
        <v>471</v>
      </c>
      <c r="B107" t="s">
        <v>98</v>
      </c>
      <c r="C107" s="534">
        <v>6.3500000000000004E-4</v>
      </c>
      <c r="D107" s="534">
        <v>6.8860000000000004E-4</v>
      </c>
      <c r="E107" s="534">
        <v>7.1710000000000003E-4</v>
      </c>
      <c r="F107" s="534">
        <v>7.4169999999999998E-4</v>
      </c>
      <c r="G107" s="534">
        <v>7.2670000000000005E-4</v>
      </c>
      <c r="H107" s="534">
        <v>7.3240000000000002E-4</v>
      </c>
      <c r="I107" s="534">
        <v>7.2499999999999995E-4</v>
      </c>
      <c r="J107" s="534">
        <v>7.2829999999999998E-4</v>
      </c>
      <c r="K107" s="534">
        <v>7.6090000000000001E-4</v>
      </c>
      <c r="L107" s="534">
        <v>8.1269999999999997E-4</v>
      </c>
      <c r="M107" s="534">
        <v>7.896E-4</v>
      </c>
      <c r="N107">
        <v>8.1119999999999999E-4</v>
      </c>
      <c r="O107">
        <v>7.6869999999999998E-4</v>
      </c>
      <c r="P107">
        <v>7.7269999999999997E-4</v>
      </c>
      <c r="Q107">
        <v>7.7590000000000005E-4</v>
      </c>
      <c r="R107">
        <v>8.6700000000000004E-4</v>
      </c>
      <c r="S107">
        <v>8.2359999999999996E-4</v>
      </c>
      <c r="T107">
        <v>8.1660000000000001E-4</v>
      </c>
      <c r="U107">
        <v>8.7339999999999998E-4</v>
      </c>
      <c r="V107">
        <v>8.765E-4</v>
      </c>
      <c r="W107">
        <v>7.7320000000000004E-4</v>
      </c>
      <c r="X107">
        <v>9.1520000000000002E-4</v>
      </c>
      <c r="Y107">
        <v>9.5189999999999999E-4</v>
      </c>
      <c r="Z107">
        <v>9.6230000000000003E-4</v>
      </c>
      <c r="AA107">
        <v>9.9080000000000001E-4</v>
      </c>
      <c r="AB107">
        <v>1.0018E-3</v>
      </c>
      <c r="AC107">
        <v>1.0084E-3</v>
      </c>
      <c r="AD107">
        <v>9.5049999999999996E-4</v>
      </c>
    </row>
    <row r="108" spans="1:30">
      <c r="A108">
        <v>475</v>
      </c>
      <c r="B108" t="s">
        <v>99</v>
      </c>
      <c r="C108" s="534">
        <v>6.1624999999999996E-3</v>
      </c>
      <c r="D108" s="534">
        <v>6.1412000000000003E-3</v>
      </c>
      <c r="E108" s="534">
        <v>6.2810000000000001E-3</v>
      </c>
      <c r="F108" s="534">
        <v>6.2297999999999997E-3</v>
      </c>
      <c r="G108" s="534">
        <v>6.4973000000000001E-3</v>
      </c>
      <c r="H108" s="534">
        <v>6.4799000000000002E-3</v>
      </c>
      <c r="I108" s="534">
        <v>6.4700000000000001E-3</v>
      </c>
      <c r="J108" s="534">
        <v>6.4059E-3</v>
      </c>
      <c r="K108" s="534">
        <v>6.4070999999999998E-3</v>
      </c>
      <c r="L108" s="534">
        <v>5.8931000000000001E-3</v>
      </c>
      <c r="M108" s="534">
        <v>6.1653999999999997E-3</v>
      </c>
      <c r="N108">
        <v>6.4333000000000003E-3</v>
      </c>
      <c r="O108">
        <v>6.4947E-3</v>
      </c>
      <c r="P108">
        <v>6.5301999999999999E-3</v>
      </c>
      <c r="Q108">
        <v>6.9477000000000002E-3</v>
      </c>
      <c r="R108">
        <v>7.0676000000000003E-3</v>
      </c>
      <c r="S108">
        <v>7.2053999999999998E-3</v>
      </c>
      <c r="T108">
        <v>7.2503000000000003E-3</v>
      </c>
      <c r="U108">
        <v>6.9081000000000004E-3</v>
      </c>
      <c r="V108">
        <v>6.9658999999999997E-3</v>
      </c>
      <c r="W108">
        <v>6.7952999999999998E-3</v>
      </c>
      <c r="X108">
        <v>7.1316000000000001E-3</v>
      </c>
      <c r="Y108">
        <v>8.8500000000000002E-3</v>
      </c>
      <c r="Z108">
        <v>8.5313999999999997E-3</v>
      </c>
      <c r="AA108">
        <v>7.365E-3</v>
      </c>
      <c r="AB108">
        <v>7.5786999999999998E-3</v>
      </c>
      <c r="AC108">
        <v>7.5925000000000003E-3</v>
      </c>
      <c r="AD108">
        <v>7.7920999999999997E-3</v>
      </c>
    </row>
    <row r="109" spans="1:30">
      <c r="A109">
        <v>481</v>
      </c>
      <c r="B109" t="s">
        <v>100</v>
      </c>
      <c r="C109" s="534">
        <v>1.706E-4</v>
      </c>
      <c r="D109" s="534">
        <v>1.8569999999999999E-4</v>
      </c>
      <c r="E109" s="534">
        <v>1.8450000000000001E-4</v>
      </c>
      <c r="F109" s="534">
        <v>1.741E-4</v>
      </c>
      <c r="G109" s="534">
        <v>1.6220000000000001E-4</v>
      </c>
      <c r="H109" s="534">
        <v>1.6640000000000001E-4</v>
      </c>
      <c r="I109" s="534">
        <v>1.8569999999999999E-4</v>
      </c>
      <c r="J109" s="534">
        <v>1.783E-4</v>
      </c>
      <c r="K109" s="534">
        <v>1.818E-4</v>
      </c>
      <c r="L109" s="534">
        <v>2.1670000000000001E-4</v>
      </c>
      <c r="M109" s="534">
        <v>1.8479999999999999E-4</v>
      </c>
      <c r="N109">
        <v>1.9450000000000001E-4</v>
      </c>
      <c r="O109">
        <v>1.7909999999999999E-4</v>
      </c>
      <c r="P109">
        <v>1.84E-4</v>
      </c>
      <c r="Q109">
        <v>1.6569999999999999E-4</v>
      </c>
      <c r="R109">
        <v>1.7650000000000001E-4</v>
      </c>
      <c r="S109">
        <v>1.7789999999999999E-4</v>
      </c>
      <c r="T109">
        <v>2.008E-4</v>
      </c>
      <c r="U109">
        <v>1.7799999999999999E-4</v>
      </c>
      <c r="V109">
        <v>1.7819999999999999E-4</v>
      </c>
      <c r="W109">
        <v>1.5799999999999999E-4</v>
      </c>
      <c r="X109">
        <v>1.5770000000000001E-4</v>
      </c>
      <c r="Y109">
        <v>1.383E-4</v>
      </c>
      <c r="Z109">
        <v>1.3530000000000001E-4</v>
      </c>
      <c r="AA109">
        <v>1.3009999999999999E-4</v>
      </c>
      <c r="AB109">
        <v>1.448E-4</v>
      </c>
      <c r="AC109">
        <v>1.5139999999999999E-4</v>
      </c>
      <c r="AD109">
        <v>1.527E-4</v>
      </c>
    </row>
    <row r="110" spans="1:30">
      <c r="A110">
        <v>482</v>
      </c>
      <c r="B110" t="s">
        <v>101</v>
      </c>
      <c r="C110" s="534">
        <v>1.7929999999999999E-4</v>
      </c>
      <c r="D110" s="534">
        <v>1.8440000000000001E-4</v>
      </c>
      <c r="E110" s="534">
        <v>1.963E-4</v>
      </c>
      <c r="F110" s="534">
        <v>1.964E-4</v>
      </c>
      <c r="G110" s="534">
        <v>2.0469999999999999E-4</v>
      </c>
      <c r="H110" s="534">
        <v>2.0550000000000001E-4</v>
      </c>
      <c r="I110" s="534">
        <v>2.084E-4</v>
      </c>
      <c r="J110" s="534">
        <v>2.062E-4</v>
      </c>
      <c r="K110" s="534">
        <v>2.096E-4</v>
      </c>
      <c r="L110" s="534">
        <v>2.1269999999999999E-4</v>
      </c>
      <c r="M110" s="534">
        <v>2.017E-4</v>
      </c>
      <c r="N110">
        <v>2.4620000000000002E-4</v>
      </c>
      <c r="O110">
        <v>2.1450000000000001E-4</v>
      </c>
      <c r="P110">
        <v>2.1039999999999999E-4</v>
      </c>
      <c r="Q110">
        <v>2.1029999999999999E-4</v>
      </c>
      <c r="R110">
        <v>2.1029999999999999E-4</v>
      </c>
      <c r="S110">
        <v>2.1719999999999999E-4</v>
      </c>
      <c r="T110">
        <v>2.1359999999999999E-4</v>
      </c>
      <c r="U110">
        <v>2.1450000000000001E-4</v>
      </c>
      <c r="V110">
        <v>2.0359999999999999E-4</v>
      </c>
      <c r="W110">
        <v>1.9680000000000001E-4</v>
      </c>
      <c r="X110">
        <v>2.0350000000000001E-4</v>
      </c>
      <c r="Y110">
        <v>2.0249999999999999E-4</v>
      </c>
      <c r="Z110">
        <v>1.9760000000000001E-4</v>
      </c>
      <c r="AA110">
        <v>1.9459999999999999E-4</v>
      </c>
      <c r="AB110">
        <v>1.952E-4</v>
      </c>
      <c r="AC110">
        <v>2.04E-4</v>
      </c>
      <c r="AD110">
        <v>2.061E-4</v>
      </c>
    </row>
    <row r="111" spans="1:30">
      <c r="A111">
        <v>483</v>
      </c>
      <c r="B111" t="s">
        <v>102</v>
      </c>
      <c r="C111" s="534">
        <v>2.587E-4</v>
      </c>
      <c r="D111" s="534">
        <v>2.5690000000000001E-4</v>
      </c>
      <c r="E111" s="534">
        <v>2.5710000000000002E-4</v>
      </c>
      <c r="F111" s="534">
        <v>2.6459999999999998E-4</v>
      </c>
      <c r="G111" s="534">
        <v>3.3569999999999997E-4</v>
      </c>
      <c r="H111" s="534">
        <v>3.3359999999999998E-4</v>
      </c>
      <c r="I111" s="534">
        <v>3.8010000000000002E-4</v>
      </c>
      <c r="J111" s="534">
        <v>4.347E-4</v>
      </c>
      <c r="K111" s="534">
        <v>4.6710000000000002E-4</v>
      </c>
      <c r="L111" s="534">
        <v>4.818E-4</v>
      </c>
      <c r="M111" s="534">
        <v>5.9770000000000005E-4</v>
      </c>
      <c r="N111">
        <v>6.3429999999999997E-4</v>
      </c>
      <c r="O111">
        <v>5.819E-4</v>
      </c>
      <c r="P111">
        <v>5.3260000000000004E-4</v>
      </c>
      <c r="Q111">
        <v>6.0530000000000002E-4</v>
      </c>
      <c r="R111">
        <v>6.0970000000000002E-4</v>
      </c>
      <c r="S111">
        <v>6.1910000000000003E-4</v>
      </c>
      <c r="T111">
        <v>5.8710000000000001E-4</v>
      </c>
      <c r="U111">
        <v>5.7549999999999995E-4</v>
      </c>
      <c r="V111">
        <v>5.7390000000000002E-4</v>
      </c>
      <c r="W111">
        <v>5.6970000000000002E-4</v>
      </c>
      <c r="X111">
        <v>6.0329999999999997E-4</v>
      </c>
      <c r="Y111">
        <v>6.2520000000000002E-4</v>
      </c>
      <c r="Z111">
        <v>6.2580000000000003E-4</v>
      </c>
      <c r="AA111">
        <v>6.4800000000000003E-4</v>
      </c>
      <c r="AB111">
        <v>6.5970000000000004E-4</v>
      </c>
      <c r="AC111">
        <v>6.648E-4</v>
      </c>
      <c r="AD111">
        <v>5.6760000000000003E-4</v>
      </c>
    </row>
    <row r="112" spans="1:30">
      <c r="A112">
        <v>484</v>
      </c>
      <c r="B112" t="s">
        <v>103</v>
      </c>
      <c r="C112" s="534">
        <v>2.8880000000000003E-4</v>
      </c>
      <c r="D112" s="534">
        <v>2.8640000000000002E-4</v>
      </c>
      <c r="E112" s="534">
        <v>2.7900000000000001E-4</v>
      </c>
      <c r="F112" s="534">
        <v>3.0140000000000001E-4</v>
      </c>
      <c r="G112" s="534">
        <v>3.2009999999999997E-4</v>
      </c>
      <c r="H112" s="534">
        <v>3.2000000000000003E-4</v>
      </c>
      <c r="I112" s="534">
        <v>3.2059999999999999E-4</v>
      </c>
      <c r="J112" s="534">
        <v>3.278E-4</v>
      </c>
      <c r="K112" s="534">
        <v>5.3939999999999999E-4</v>
      </c>
      <c r="L112" s="534">
        <v>5.5190000000000003E-4</v>
      </c>
      <c r="M112" s="534">
        <v>3.1129999999999998E-4</v>
      </c>
      <c r="N112">
        <v>3.724E-4</v>
      </c>
      <c r="O112">
        <v>3.5330000000000002E-4</v>
      </c>
      <c r="P112">
        <v>3.9120000000000002E-4</v>
      </c>
      <c r="Q112">
        <v>3.3579999999999998E-4</v>
      </c>
      <c r="R112">
        <v>3.3789999999999997E-4</v>
      </c>
      <c r="S112">
        <v>3.3819999999999998E-4</v>
      </c>
      <c r="T112">
        <v>3.4440000000000002E-4</v>
      </c>
      <c r="U112">
        <v>3.481E-4</v>
      </c>
      <c r="V112">
        <v>3.4620000000000001E-4</v>
      </c>
      <c r="W112">
        <v>3.4239999999999997E-4</v>
      </c>
      <c r="X112">
        <v>3.4979999999999999E-4</v>
      </c>
      <c r="Y112">
        <v>3.5110000000000002E-4</v>
      </c>
      <c r="Z112">
        <v>3.3090000000000002E-4</v>
      </c>
      <c r="AA112">
        <v>3.5070000000000001E-4</v>
      </c>
      <c r="AB112">
        <v>3.5359999999999998E-4</v>
      </c>
      <c r="AC112">
        <v>3.5720000000000001E-4</v>
      </c>
      <c r="AD112">
        <v>3.614E-4</v>
      </c>
    </row>
    <row r="113" spans="1:30">
      <c r="A113">
        <v>490</v>
      </c>
      <c r="B113" t="s">
        <v>104</v>
      </c>
      <c r="C113" s="534">
        <v>2.3803000000000001E-3</v>
      </c>
      <c r="D113" s="534">
        <v>2.4807000000000002E-3</v>
      </c>
      <c r="E113" s="534">
        <v>2.4754999999999998E-3</v>
      </c>
      <c r="F113" s="534">
        <v>2.4989000000000001E-3</v>
      </c>
      <c r="G113" s="534">
        <v>2.5079E-3</v>
      </c>
      <c r="H113" s="534">
        <v>2.5584000000000002E-3</v>
      </c>
      <c r="I113" s="534">
        <v>2.4903999999999998E-3</v>
      </c>
      <c r="J113" s="534">
        <v>2.5057999999999999E-3</v>
      </c>
      <c r="K113" s="534">
        <v>2.5125999999999998E-3</v>
      </c>
      <c r="L113" s="534">
        <v>2.5672999999999998E-3</v>
      </c>
      <c r="M113" s="534">
        <v>2.5798000000000001E-3</v>
      </c>
      <c r="N113">
        <v>2.7558999999999999E-3</v>
      </c>
      <c r="O113">
        <v>3.3578000000000002E-3</v>
      </c>
      <c r="P113">
        <v>2.8579E-3</v>
      </c>
      <c r="Q113">
        <v>2.8712999999999998E-3</v>
      </c>
      <c r="R113">
        <v>2.9156999999999998E-3</v>
      </c>
      <c r="S113">
        <v>3.0033999999999998E-3</v>
      </c>
      <c r="T113">
        <v>2.8987000000000001E-3</v>
      </c>
      <c r="U113">
        <v>3.1047000000000002E-3</v>
      </c>
      <c r="V113">
        <v>3.1781000000000001E-3</v>
      </c>
      <c r="W113">
        <v>3.2049000000000001E-3</v>
      </c>
      <c r="X113">
        <v>3.4489E-3</v>
      </c>
      <c r="Y113">
        <v>3.6072999999999999E-3</v>
      </c>
      <c r="Z113">
        <v>3.5385E-3</v>
      </c>
      <c r="AA113">
        <v>3.5560000000000001E-3</v>
      </c>
      <c r="AB113">
        <v>3.4654E-3</v>
      </c>
      <c r="AC113">
        <v>4.2208000000000002E-3</v>
      </c>
      <c r="AD113">
        <v>4.1745000000000003E-3</v>
      </c>
    </row>
    <row r="114" spans="1:30">
      <c r="A114">
        <v>500</v>
      </c>
      <c r="B114" t="s">
        <v>105</v>
      </c>
      <c r="C114" s="534">
        <v>7.3620000000000001E-4</v>
      </c>
      <c r="D114" s="534">
        <v>6.9439999999999997E-4</v>
      </c>
      <c r="E114" s="534">
        <v>7.2550000000000002E-4</v>
      </c>
      <c r="F114" s="534">
        <v>7.4430000000000004E-4</v>
      </c>
      <c r="G114" s="534">
        <v>7.3439999999999996E-4</v>
      </c>
      <c r="H114" s="534">
        <v>7.3740000000000003E-4</v>
      </c>
      <c r="I114" s="534">
        <v>7.4589999999999997E-4</v>
      </c>
      <c r="J114" s="534">
        <v>8.1539999999999998E-4</v>
      </c>
      <c r="K114" s="534">
        <v>8.7520000000000002E-4</v>
      </c>
      <c r="L114" s="534">
        <v>9.0549999999999995E-4</v>
      </c>
      <c r="M114" s="534">
        <v>1.0740999999999999E-3</v>
      </c>
      <c r="N114">
        <v>1.1297E-3</v>
      </c>
      <c r="O114">
        <v>1.2333999999999999E-3</v>
      </c>
      <c r="P114">
        <v>1.2596E-3</v>
      </c>
      <c r="Q114">
        <v>1.2103999999999999E-3</v>
      </c>
      <c r="R114">
        <v>1.1554E-3</v>
      </c>
      <c r="S114">
        <v>1.1697999999999999E-3</v>
      </c>
      <c r="T114">
        <v>1.1845E-3</v>
      </c>
      <c r="U114">
        <v>1.2065999999999999E-3</v>
      </c>
      <c r="V114">
        <v>1.2071E-3</v>
      </c>
      <c r="W114">
        <v>1.2006E-3</v>
      </c>
      <c r="X114">
        <v>1.3024E-3</v>
      </c>
      <c r="Y114">
        <v>1.3202999999999999E-3</v>
      </c>
      <c r="Z114">
        <v>1.3607999999999999E-3</v>
      </c>
      <c r="AA114">
        <v>1.3213999999999999E-3</v>
      </c>
      <c r="AB114">
        <v>1.2872000000000001E-3</v>
      </c>
      <c r="AC114">
        <v>1.2962E-3</v>
      </c>
      <c r="AD114">
        <v>1.3198999999999999E-3</v>
      </c>
    </row>
    <row r="115" spans="1:30">
      <c r="A115">
        <v>501</v>
      </c>
      <c r="B115" t="s">
        <v>106</v>
      </c>
      <c r="C115" s="534">
        <v>1.204E-3</v>
      </c>
      <c r="D115" s="534">
        <v>1.2087000000000001E-3</v>
      </c>
      <c r="E115" s="534">
        <v>1.2264000000000001E-3</v>
      </c>
      <c r="F115" s="534">
        <v>1.2164999999999999E-3</v>
      </c>
      <c r="G115" s="534">
        <v>1.2206999999999999E-3</v>
      </c>
      <c r="H115" s="534">
        <v>1.2470000000000001E-3</v>
      </c>
      <c r="I115" s="534">
        <v>1.2328E-3</v>
      </c>
      <c r="J115" s="534">
        <v>1.3112E-3</v>
      </c>
      <c r="K115" s="534">
        <v>1.3351000000000001E-3</v>
      </c>
      <c r="L115" s="534">
        <v>1.3797E-3</v>
      </c>
      <c r="M115" s="534">
        <v>1.2588E-3</v>
      </c>
      <c r="N115">
        <v>1.3544E-3</v>
      </c>
      <c r="O115">
        <v>1.3711000000000001E-3</v>
      </c>
      <c r="P115">
        <v>1.4269E-3</v>
      </c>
      <c r="Q115">
        <v>1.4400000000000001E-3</v>
      </c>
      <c r="R115">
        <v>1.4641999999999999E-3</v>
      </c>
      <c r="S115">
        <v>1.5062000000000001E-3</v>
      </c>
      <c r="T115">
        <v>1.66E-3</v>
      </c>
      <c r="U115">
        <v>1.5665E-3</v>
      </c>
      <c r="V115">
        <v>1.4450000000000001E-3</v>
      </c>
      <c r="W115">
        <v>1.4224999999999999E-3</v>
      </c>
      <c r="X115">
        <v>1.4775999999999999E-3</v>
      </c>
      <c r="Y115">
        <v>1.4917000000000001E-3</v>
      </c>
      <c r="Z115">
        <v>1.5016999999999999E-3</v>
      </c>
      <c r="AA115">
        <v>1.5931000000000001E-3</v>
      </c>
      <c r="AB115">
        <v>1.6711E-3</v>
      </c>
      <c r="AC115">
        <v>1.7243E-3</v>
      </c>
      <c r="AD115">
        <v>1.7769999999999999E-3</v>
      </c>
    </row>
    <row r="116" spans="1:30">
      <c r="A116">
        <v>510</v>
      </c>
      <c r="B116" t="s">
        <v>107</v>
      </c>
      <c r="C116" s="534">
        <v>1.4392000000000001E-3</v>
      </c>
      <c r="D116" s="534">
        <v>1.3656E-3</v>
      </c>
      <c r="E116" s="534">
        <v>1.3657000000000001E-3</v>
      </c>
      <c r="F116" s="534">
        <v>1.6317E-3</v>
      </c>
      <c r="G116" s="534">
        <v>1.3554999999999999E-3</v>
      </c>
      <c r="H116" s="534">
        <v>1.4594E-3</v>
      </c>
      <c r="I116" s="534">
        <v>1.4919E-3</v>
      </c>
      <c r="J116" s="534">
        <v>1.4402E-3</v>
      </c>
      <c r="K116" s="534">
        <v>1.4456E-3</v>
      </c>
      <c r="L116" s="534">
        <v>1.5154999999999999E-3</v>
      </c>
      <c r="M116" s="534">
        <v>1.4955000000000001E-3</v>
      </c>
      <c r="N116">
        <v>1.6413000000000001E-3</v>
      </c>
      <c r="O116">
        <v>1.6662999999999999E-3</v>
      </c>
      <c r="P116">
        <v>1.6944E-3</v>
      </c>
      <c r="Q116">
        <v>1.8121000000000001E-3</v>
      </c>
      <c r="R116">
        <v>1.8408999999999999E-3</v>
      </c>
      <c r="S116">
        <v>1.8533E-3</v>
      </c>
      <c r="T116">
        <v>1.7558000000000001E-3</v>
      </c>
      <c r="U116">
        <v>1.7937999999999999E-3</v>
      </c>
      <c r="V116">
        <v>1.8136999999999999E-3</v>
      </c>
      <c r="W116">
        <v>1.8115E-3</v>
      </c>
      <c r="X116">
        <v>1.7786E-3</v>
      </c>
      <c r="Y116">
        <v>1.8052000000000001E-3</v>
      </c>
      <c r="Z116">
        <v>1.7803000000000001E-3</v>
      </c>
      <c r="AA116">
        <v>1.843E-3</v>
      </c>
      <c r="AB116">
        <v>1.8837000000000001E-3</v>
      </c>
      <c r="AC116">
        <v>1.9128000000000001E-3</v>
      </c>
      <c r="AD116">
        <v>1.9317E-3</v>
      </c>
    </row>
    <row r="117" spans="1:30">
      <c r="A117">
        <v>516</v>
      </c>
      <c r="B117" t="s">
        <v>108</v>
      </c>
      <c r="C117" s="534">
        <v>2.307E-4</v>
      </c>
      <c r="D117" s="534">
        <v>2.286E-4</v>
      </c>
      <c r="E117" s="534">
        <v>2.3159999999999999E-4</v>
      </c>
      <c r="F117" s="534">
        <v>2.343E-4</v>
      </c>
      <c r="G117" s="534">
        <v>2.354E-4</v>
      </c>
      <c r="H117" s="534">
        <v>2.4350000000000001E-4</v>
      </c>
      <c r="I117" s="534">
        <v>2.589E-4</v>
      </c>
      <c r="J117" s="534">
        <v>2.6580000000000001E-4</v>
      </c>
      <c r="K117" s="534">
        <v>2.8069999999999999E-4</v>
      </c>
      <c r="L117" s="534">
        <v>2.9189999999999999E-4</v>
      </c>
      <c r="M117" s="534">
        <v>2.9349999999999998E-4</v>
      </c>
      <c r="N117">
        <v>3.0810000000000001E-4</v>
      </c>
      <c r="O117">
        <v>3.7849999999999998E-4</v>
      </c>
      <c r="P117">
        <v>3.21E-4</v>
      </c>
      <c r="Q117">
        <v>3.5340000000000002E-4</v>
      </c>
      <c r="R117">
        <v>3.9389999999999998E-4</v>
      </c>
      <c r="S117">
        <v>4.217E-4</v>
      </c>
      <c r="T117">
        <v>5.0620000000000005E-4</v>
      </c>
      <c r="U117">
        <v>5.195E-4</v>
      </c>
      <c r="V117">
        <v>5.4960000000000002E-4</v>
      </c>
      <c r="W117">
        <v>5.4480000000000002E-4</v>
      </c>
      <c r="X117">
        <v>6.2049999999999996E-4</v>
      </c>
      <c r="Y117">
        <v>6.2739999999999996E-4</v>
      </c>
      <c r="Z117">
        <v>6.5729999999999998E-4</v>
      </c>
      <c r="AA117">
        <v>6.6879999999999999E-4</v>
      </c>
      <c r="AB117">
        <v>6.801E-4</v>
      </c>
      <c r="AC117">
        <v>6.8900000000000005E-4</v>
      </c>
      <c r="AD117">
        <v>5.6159999999999999E-4</v>
      </c>
    </row>
    <row r="118" spans="1:30">
      <c r="A118">
        <v>517</v>
      </c>
      <c r="B118" t="s">
        <v>109</v>
      </c>
      <c r="C118" s="534">
        <v>2.744E-4</v>
      </c>
      <c r="D118" s="534">
        <v>2.7920000000000001E-4</v>
      </c>
      <c r="E118" s="534">
        <v>2.8370000000000001E-4</v>
      </c>
      <c r="F118" s="534">
        <v>2.8820000000000001E-4</v>
      </c>
      <c r="G118" s="534">
        <v>2.8140000000000001E-4</v>
      </c>
      <c r="H118" s="534">
        <v>2.8590000000000001E-4</v>
      </c>
      <c r="I118" s="534">
        <v>2.9189999999999999E-4</v>
      </c>
      <c r="J118" s="534">
        <v>2.9920000000000001E-4</v>
      </c>
      <c r="K118" s="534">
        <v>3.0380000000000001E-4</v>
      </c>
      <c r="L118" s="534">
        <v>3.1550000000000003E-4</v>
      </c>
      <c r="M118" s="534">
        <v>3.0489999999999998E-4</v>
      </c>
      <c r="N118">
        <v>4.6470000000000002E-4</v>
      </c>
      <c r="O118">
        <v>4.5469999999999999E-4</v>
      </c>
      <c r="P118">
        <v>4.3899999999999999E-4</v>
      </c>
      <c r="Q118">
        <v>4.2460000000000002E-4</v>
      </c>
      <c r="R118">
        <v>4.2480000000000003E-4</v>
      </c>
      <c r="S118">
        <v>6.2279999999999996E-4</v>
      </c>
      <c r="T118">
        <v>5.3249999999999999E-4</v>
      </c>
      <c r="U118">
        <v>5.7030000000000004E-4</v>
      </c>
      <c r="V118">
        <v>5.842E-4</v>
      </c>
      <c r="W118">
        <v>8.1660000000000001E-4</v>
      </c>
      <c r="X118">
        <v>8.4840000000000002E-4</v>
      </c>
      <c r="Y118">
        <v>8.5820000000000004E-4</v>
      </c>
      <c r="Z118">
        <v>7.0609999999999998E-4</v>
      </c>
      <c r="AA118">
        <v>7.1409999999999996E-4</v>
      </c>
      <c r="AB118">
        <v>7.2480000000000005E-4</v>
      </c>
      <c r="AC118">
        <v>7.2679999999999999E-4</v>
      </c>
      <c r="AD118">
        <v>5.8129999999999998E-4</v>
      </c>
    </row>
    <row r="119" spans="1:30">
      <c r="A119">
        <v>520</v>
      </c>
      <c r="B119" t="s">
        <v>110</v>
      </c>
      <c r="C119" s="534">
        <v>7.1330000000000005E-4</v>
      </c>
      <c r="D119" s="534">
        <v>7.2610000000000003E-4</v>
      </c>
      <c r="E119" s="534">
        <v>7.2769999999999996E-4</v>
      </c>
      <c r="F119" s="534">
        <v>7.002E-4</v>
      </c>
      <c r="G119" s="534">
        <v>6.5970000000000004E-4</v>
      </c>
      <c r="H119" s="534">
        <v>6.6819999999999998E-4</v>
      </c>
      <c r="I119" s="534">
        <v>6.9769999999999999E-4</v>
      </c>
      <c r="J119" s="534">
        <v>6.9200000000000002E-4</v>
      </c>
      <c r="K119" s="534">
        <v>6.7540000000000005E-4</v>
      </c>
      <c r="L119" s="534">
        <v>6.7639999999999996E-4</v>
      </c>
      <c r="M119" s="534">
        <v>6.7210000000000002E-4</v>
      </c>
      <c r="N119">
        <v>5.3430000000000003E-4</v>
      </c>
      <c r="O119">
        <v>4.8440000000000001E-4</v>
      </c>
      <c r="P119">
        <v>4.8200000000000001E-4</v>
      </c>
      <c r="Q119">
        <v>6.0369999999999998E-4</v>
      </c>
      <c r="R119">
        <v>4.9649999999999998E-4</v>
      </c>
      <c r="S119">
        <v>5.0009999999999996E-4</v>
      </c>
      <c r="T119">
        <v>5.0770000000000003E-4</v>
      </c>
      <c r="U119">
        <v>4.7100000000000001E-4</v>
      </c>
      <c r="V119">
        <v>7.8569999999999996E-4</v>
      </c>
      <c r="W119">
        <v>7.9279999999999997E-4</v>
      </c>
      <c r="X119">
        <v>4.8910000000000002E-4</v>
      </c>
      <c r="Y119">
        <v>4.1169999999999998E-4</v>
      </c>
      <c r="Z119">
        <v>4.9560000000000001E-4</v>
      </c>
      <c r="AA119">
        <v>5.1219999999999998E-4</v>
      </c>
      <c r="AB119">
        <v>4.1399999999999998E-4</v>
      </c>
      <c r="AC119">
        <v>4.1849999999999998E-4</v>
      </c>
      <c r="AD119">
        <v>5.3129999999999996E-4</v>
      </c>
    </row>
    <row r="120" spans="1:30">
      <c r="A120">
        <v>522</v>
      </c>
      <c r="B120" t="s">
        <v>111</v>
      </c>
      <c r="C120" s="534">
        <v>4.9499999999999997E-5</v>
      </c>
      <c r="D120" s="534">
        <v>5.6799999999999998E-5</v>
      </c>
      <c r="E120" s="534">
        <v>6.58E-5</v>
      </c>
      <c r="F120" s="534">
        <v>6.2500000000000001E-5</v>
      </c>
      <c r="G120" s="534">
        <v>7.0500000000000006E-5</v>
      </c>
      <c r="H120" s="534">
        <v>8.6600000000000004E-5</v>
      </c>
      <c r="I120" s="534">
        <v>8.1799999999999996E-5</v>
      </c>
      <c r="J120" s="534">
        <v>8.3300000000000005E-5</v>
      </c>
      <c r="K120" s="534">
        <v>8.5599999999999994E-5</v>
      </c>
      <c r="L120" s="534">
        <v>8.6000000000000003E-5</v>
      </c>
      <c r="M120" s="534">
        <v>8.5500000000000005E-5</v>
      </c>
      <c r="N120">
        <v>8.5599999999999994E-5</v>
      </c>
      <c r="O120">
        <v>1.2180000000000001E-4</v>
      </c>
      <c r="P120">
        <v>1.2010000000000001E-4</v>
      </c>
      <c r="Q120">
        <v>1.1909999999999999E-4</v>
      </c>
      <c r="R120">
        <v>1.1849999999999999E-4</v>
      </c>
      <c r="S120">
        <v>1.188E-4</v>
      </c>
      <c r="T120">
        <v>1.188E-4</v>
      </c>
      <c r="U120">
        <v>1.203E-4</v>
      </c>
      <c r="V120">
        <v>1.1959999999999999E-4</v>
      </c>
      <c r="W120">
        <v>1.186E-4</v>
      </c>
      <c r="X120">
        <v>1.3799999999999999E-4</v>
      </c>
      <c r="Y120">
        <v>1.4100000000000001E-4</v>
      </c>
      <c r="Z120">
        <v>1.3770000000000001E-4</v>
      </c>
      <c r="AA120">
        <v>1.317E-4</v>
      </c>
      <c r="AB120">
        <v>1.3200000000000001E-4</v>
      </c>
      <c r="AC120">
        <v>1.403E-4</v>
      </c>
      <c r="AD120">
        <v>1.4980000000000001E-4</v>
      </c>
    </row>
    <row r="121" spans="1:30">
      <c r="A121">
        <v>530</v>
      </c>
      <c r="B121" t="s">
        <v>112</v>
      </c>
      <c r="C121" s="534">
        <v>3.2918999999999999E-3</v>
      </c>
      <c r="D121" s="534">
        <v>3.4819E-3</v>
      </c>
      <c r="E121" s="534">
        <v>3.2049999999999999E-3</v>
      </c>
      <c r="F121" s="534">
        <v>3.2690000000000002E-3</v>
      </c>
      <c r="G121" s="534">
        <v>3.1091999999999999E-3</v>
      </c>
      <c r="H121" s="534">
        <v>3.4394999999999998E-3</v>
      </c>
      <c r="I121" s="534">
        <v>3.8013000000000001E-3</v>
      </c>
      <c r="J121" s="534">
        <v>3.8552E-3</v>
      </c>
      <c r="K121" s="534">
        <v>3.5568000000000002E-3</v>
      </c>
      <c r="L121" s="534">
        <v>3.6660999999999998E-3</v>
      </c>
      <c r="M121" s="534">
        <v>4.0119999999999999E-3</v>
      </c>
      <c r="N121">
        <v>3.1844E-3</v>
      </c>
      <c r="O121">
        <v>3.3679999999999999E-3</v>
      </c>
      <c r="P121">
        <v>3.1232E-3</v>
      </c>
      <c r="Q121">
        <v>3.0184999999999999E-3</v>
      </c>
      <c r="R121">
        <v>3.0582000000000001E-3</v>
      </c>
      <c r="S121">
        <v>2.9618000000000001E-3</v>
      </c>
      <c r="T121">
        <v>3.0000000000000001E-3</v>
      </c>
      <c r="U121">
        <v>3.9968E-3</v>
      </c>
      <c r="V121">
        <v>4.8123000000000003E-3</v>
      </c>
      <c r="W121">
        <v>5.2706000000000003E-3</v>
      </c>
      <c r="X121">
        <v>4.5126999999999997E-3</v>
      </c>
      <c r="Y121">
        <v>4.4930999999999999E-3</v>
      </c>
      <c r="Z121">
        <v>3.7632999999999998E-3</v>
      </c>
      <c r="AA121">
        <v>3.9173000000000003E-3</v>
      </c>
      <c r="AB121">
        <v>4.0355E-3</v>
      </c>
      <c r="AC121">
        <v>4.0661999999999998E-3</v>
      </c>
      <c r="AD121">
        <v>3.8581000000000002E-3</v>
      </c>
    </row>
    <row r="122" spans="1:30" s="21" customFormat="1">
      <c r="A122">
        <v>531</v>
      </c>
      <c r="B122" t="s">
        <v>113</v>
      </c>
      <c r="C122" s="534"/>
      <c r="D122" s="534"/>
      <c r="E122" s="534"/>
      <c r="F122" s="534"/>
      <c r="G122" s="534"/>
      <c r="H122" s="534"/>
      <c r="I122" s="534"/>
      <c r="J122" s="534"/>
      <c r="K122" s="534"/>
      <c r="L122" s="534"/>
      <c r="M122" s="534"/>
      <c r="P122">
        <v>5.4370000000000004E-4</v>
      </c>
      <c r="Q122">
        <v>5.4120000000000004E-4</v>
      </c>
      <c r="R122">
        <v>4.7439999999999998E-4</v>
      </c>
      <c r="S122">
        <v>4.885E-4</v>
      </c>
      <c r="T122">
        <v>5.9719999999999999E-4</v>
      </c>
      <c r="U122">
        <v>9.8379999999999995E-4</v>
      </c>
      <c r="V122">
        <v>1.8714000000000001E-3</v>
      </c>
      <c r="W122">
        <v>1.7313999999999999E-3</v>
      </c>
      <c r="X122">
        <v>1.5939000000000001E-3</v>
      </c>
      <c r="Y122">
        <v>1.5874000000000001E-3</v>
      </c>
      <c r="Z122">
        <v>1.8577000000000001E-3</v>
      </c>
      <c r="AA122">
        <v>1.8556E-3</v>
      </c>
      <c r="AB122">
        <v>1.8798E-3</v>
      </c>
      <c r="AC122" s="21">
        <v>2.2317999999999999E-3</v>
      </c>
      <c r="AD122">
        <v>2.2561999999999999E-3</v>
      </c>
    </row>
    <row r="123" spans="1:30">
      <c r="A123">
        <v>540</v>
      </c>
      <c r="B123" t="s">
        <v>114</v>
      </c>
      <c r="C123" s="534">
        <v>1.024E-3</v>
      </c>
      <c r="D123" s="534">
        <v>1.0495999999999999E-3</v>
      </c>
      <c r="E123" s="534">
        <v>1.0613E-3</v>
      </c>
      <c r="F123" s="534">
        <v>1.0188E-3</v>
      </c>
      <c r="G123" s="534">
        <v>1.0799E-3</v>
      </c>
      <c r="H123" s="534">
        <v>1.1483999999999999E-3</v>
      </c>
      <c r="I123" s="534">
        <v>1.1827999999999999E-3</v>
      </c>
      <c r="J123" s="534">
        <v>1.1609999999999999E-3</v>
      </c>
      <c r="K123" s="534">
        <v>1.3475E-3</v>
      </c>
      <c r="L123" s="534">
        <v>1.8316000000000001E-3</v>
      </c>
      <c r="M123" s="534">
        <v>1.8415E-3</v>
      </c>
      <c r="N123">
        <v>1.6723E-3</v>
      </c>
      <c r="O123">
        <v>1.8104E-3</v>
      </c>
      <c r="P123">
        <v>1.7683E-3</v>
      </c>
      <c r="Q123" s="21">
        <v>1.5897999999999999E-3</v>
      </c>
      <c r="R123" s="21">
        <v>1.4605E-3</v>
      </c>
      <c r="S123" s="21">
        <v>1.4532E-3</v>
      </c>
      <c r="T123" s="21">
        <v>1.521E-3</v>
      </c>
      <c r="U123" s="21">
        <v>1.6410999999999999E-3</v>
      </c>
      <c r="V123" s="21">
        <v>1.6574000000000001E-3</v>
      </c>
      <c r="W123" s="21">
        <v>1.9218E-3</v>
      </c>
      <c r="X123" s="21">
        <v>2.0368000000000001E-3</v>
      </c>
      <c r="Y123" s="21">
        <v>2.1139000000000002E-3</v>
      </c>
      <c r="Z123" s="21">
        <v>2.1194E-3</v>
      </c>
      <c r="AA123" s="21">
        <v>2.2753999999999999E-3</v>
      </c>
      <c r="AB123" s="21">
        <v>2.2972999999999999E-3</v>
      </c>
      <c r="AC123">
        <v>2.3706000000000001E-3</v>
      </c>
      <c r="AD123" s="21">
        <v>2.4824999999999999E-3</v>
      </c>
    </row>
    <row r="124" spans="1:30">
      <c r="A124">
        <v>541</v>
      </c>
      <c r="B124" t="s">
        <v>115</v>
      </c>
      <c r="C124" s="534">
        <v>9.7980000000000007E-4</v>
      </c>
      <c r="D124" s="534">
        <v>9.7839999999999993E-4</v>
      </c>
      <c r="E124" s="534">
        <v>9.923E-4</v>
      </c>
      <c r="F124" s="534">
        <v>1.0447E-3</v>
      </c>
      <c r="G124" s="534">
        <v>9.9259999999999995E-4</v>
      </c>
      <c r="H124" s="534">
        <v>1.0112999999999999E-3</v>
      </c>
      <c r="I124" s="534">
        <v>1.1938000000000001E-3</v>
      </c>
      <c r="J124" s="534">
        <v>1.152E-3</v>
      </c>
      <c r="K124" s="534">
        <v>1.1324E-3</v>
      </c>
      <c r="L124" s="534">
        <v>1.1383999999999999E-3</v>
      </c>
      <c r="M124" s="534">
        <v>1.1383000000000001E-3</v>
      </c>
      <c r="N124">
        <v>1.2026999999999999E-3</v>
      </c>
      <c r="O124">
        <v>1.1366E-3</v>
      </c>
      <c r="P124">
        <v>1.1661E-3</v>
      </c>
      <c r="Q124">
        <v>9.276E-4</v>
      </c>
      <c r="R124">
        <v>9.4430000000000002E-4</v>
      </c>
      <c r="S124">
        <v>9.4229999999999997E-4</v>
      </c>
      <c r="T124">
        <v>9.7639999999999999E-4</v>
      </c>
      <c r="U124">
        <v>1.0058000000000001E-3</v>
      </c>
      <c r="V124">
        <v>9.7170000000000004E-4</v>
      </c>
      <c r="W124">
        <v>9.6139999999999995E-4</v>
      </c>
      <c r="X124">
        <v>9.5500000000000001E-4</v>
      </c>
      <c r="Y124">
        <v>9.6989999999999999E-4</v>
      </c>
      <c r="Z124">
        <v>9.2409999999999996E-4</v>
      </c>
      <c r="AA124">
        <v>9.6989999999999999E-4</v>
      </c>
      <c r="AB124">
        <v>9.993999999999999E-4</v>
      </c>
      <c r="AC124">
        <v>1.0112999999999999E-3</v>
      </c>
      <c r="AD124">
        <v>1.0318E-3</v>
      </c>
    </row>
    <row r="125" spans="1:30">
      <c r="A125">
        <v>551</v>
      </c>
      <c r="B125" t="s">
        <v>116</v>
      </c>
      <c r="C125" s="534">
        <v>7.2000000000000005E-4</v>
      </c>
      <c r="D125" s="534">
        <v>8.2109999999999995E-4</v>
      </c>
      <c r="E125" s="534">
        <v>7.8129999999999996E-4</v>
      </c>
      <c r="F125" s="534">
        <v>8.1780000000000004E-4</v>
      </c>
      <c r="G125" s="534">
        <v>7.6999999999999996E-4</v>
      </c>
      <c r="H125" s="534">
        <v>7.2130000000000002E-4</v>
      </c>
      <c r="I125" s="534">
        <v>7.2059999999999995E-4</v>
      </c>
      <c r="J125" s="534">
        <v>7.1829999999999995E-4</v>
      </c>
      <c r="K125" s="534">
        <v>7.4600000000000003E-4</v>
      </c>
      <c r="L125" s="534">
        <v>7.5659999999999996E-4</v>
      </c>
      <c r="M125" s="534">
        <v>7.4049999999999995E-4</v>
      </c>
      <c r="N125">
        <v>7.3539999999999999E-4</v>
      </c>
      <c r="O125">
        <v>8.7889999999999995E-4</v>
      </c>
      <c r="P125">
        <v>7.3839999999999995E-4</v>
      </c>
      <c r="Q125">
        <v>7.3539999999999999E-4</v>
      </c>
      <c r="R125">
        <v>7.8200000000000003E-4</v>
      </c>
      <c r="S125">
        <v>7.7280000000000003E-4</v>
      </c>
      <c r="T125">
        <v>8.0809999999999996E-4</v>
      </c>
      <c r="U125">
        <v>7.871E-4</v>
      </c>
      <c r="V125">
        <v>7.4049999999999995E-4</v>
      </c>
      <c r="W125">
        <v>7.0189999999999998E-4</v>
      </c>
      <c r="X125">
        <v>7.4019999999999999E-4</v>
      </c>
      <c r="Y125">
        <v>7.4390000000000003E-4</v>
      </c>
      <c r="Z125">
        <v>7.0899999999999999E-4</v>
      </c>
      <c r="AA125">
        <v>7.1699999999999997E-4</v>
      </c>
      <c r="AB125">
        <v>7.2250000000000005E-4</v>
      </c>
      <c r="AC125">
        <v>7.4739999999999995E-4</v>
      </c>
      <c r="AD125">
        <v>7.4859999999999998E-4</v>
      </c>
    </row>
    <row r="126" spans="1:30">
      <c r="A126">
        <v>552</v>
      </c>
      <c r="B126" t="s">
        <v>117</v>
      </c>
      <c r="C126" s="534">
        <v>1.4710000000000001E-3</v>
      </c>
      <c r="D126" s="534">
        <v>1.2825E-3</v>
      </c>
      <c r="E126" s="534">
        <v>1.1053E-3</v>
      </c>
      <c r="F126" s="534">
        <v>1.1344E-3</v>
      </c>
      <c r="G126" s="534">
        <v>1.0055999999999999E-3</v>
      </c>
      <c r="H126" s="534">
        <v>1.0318E-3</v>
      </c>
      <c r="I126" s="534">
        <v>1.0545000000000001E-3</v>
      </c>
      <c r="J126" s="534">
        <v>1.0682999999999999E-3</v>
      </c>
      <c r="K126" s="534">
        <v>1.0633000000000001E-3</v>
      </c>
      <c r="L126" s="534">
        <v>1.1413E-3</v>
      </c>
      <c r="M126" s="534">
        <v>1.0785E-3</v>
      </c>
      <c r="N126">
        <v>1.142E-3</v>
      </c>
      <c r="O126">
        <v>1.1557E-3</v>
      </c>
      <c r="P126">
        <v>1.0832000000000001E-3</v>
      </c>
      <c r="Q126">
        <v>1.0394E-3</v>
      </c>
      <c r="R126">
        <v>1.0326999999999999E-3</v>
      </c>
      <c r="S126">
        <v>1.0346000000000001E-3</v>
      </c>
      <c r="T126">
        <v>1.0478E-3</v>
      </c>
      <c r="U126">
        <v>1.0326000000000001E-3</v>
      </c>
      <c r="V126">
        <v>1.0591999999999999E-3</v>
      </c>
      <c r="W126">
        <v>1.0392999999999999E-3</v>
      </c>
      <c r="X126">
        <v>1.0551E-3</v>
      </c>
      <c r="Y126">
        <v>1.0487999999999999E-3</v>
      </c>
      <c r="Z126">
        <v>8.9289999999999997E-4</v>
      </c>
      <c r="AA126">
        <v>9.1069999999999996E-4</v>
      </c>
      <c r="AB126">
        <v>8.8310000000000005E-4</v>
      </c>
      <c r="AC126">
        <v>8.5780000000000003E-4</v>
      </c>
      <c r="AD126">
        <v>9.9379999999999998E-4</v>
      </c>
    </row>
    <row r="127" spans="1:30">
      <c r="A127">
        <v>553</v>
      </c>
      <c r="B127" t="s">
        <v>118</v>
      </c>
      <c r="C127" s="534">
        <v>3.6010000000000003E-4</v>
      </c>
      <c r="D127" s="534">
        <v>3.7869999999999999E-4</v>
      </c>
      <c r="E127" s="534">
        <v>3.8099999999999999E-4</v>
      </c>
      <c r="F127" s="534">
        <v>3.8509999999999998E-4</v>
      </c>
      <c r="G127" s="534">
        <v>3.7270000000000001E-4</v>
      </c>
      <c r="H127" s="534">
        <v>3.7980000000000002E-4</v>
      </c>
      <c r="I127" s="534">
        <v>4.0020000000000002E-4</v>
      </c>
      <c r="J127" s="534">
        <v>4.1669999999999999E-4</v>
      </c>
      <c r="K127" s="534">
        <v>4.0779999999999999E-4</v>
      </c>
      <c r="L127" s="534">
        <v>4.2000000000000002E-4</v>
      </c>
      <c r="M127" s="534">
        <v>4.1379999999999998E-4</v>
      </c>
      <c r="N127">
        <v>4.4000000000000002E-4</v>
      </c>
      <c r="O127">
        <v>4.64E-4</v>
      </c>
      <c r="P127">
        <v>4.6920000000000002E-4</v>
      </c>
      <c r="Q127">
        <v>4.773E-4</v>
      </c>
      <c r="R127">
        <v>4.8270000000000002E-4</v>
      </c>
      <c r="S127">
        <v>4.7370000000000002E-4</v>
      </c>
      <c r="T127">
        <v>4.7859999999999998E-4</v>
      </c>
      <c r="U127">
        <v>4.7540000000000001E-4</v>
      </c>
      <c r="V127">
        <v>4.5669999999999999E-4</v>
      </c>
      <c r="W127">
        <v>4.5619999999999998E-4</v>
      </c>
      <c r="X127">
        <v>4.55E-4</v>
      </c>
      <c r="Y127">
        <v>4.6349999999999999E-4</v>
      </c>
      <c r="Z127">
        <v>4.6079999999999998E-4</v>
      </c>
      <c r="AA127">
        <v>4.749E-4</v>
      </c>
      <c r="AB127">
        <v>4.8430000000000001E-4</v>
      </c>
      <c r="AC127">
        <v>4.9039999999999999E-4</v>
      </c>
      <c r="AD127">
        <v>5.2720000000000002E-4</v>
      </c>
    </row>
    <row r="128" spans="1:30">
      <c r="A128">
        <v>560</v>
      </c>
      <c r="B128" t="s">
        <v>119</v>
      </c>
      <c r="C128" s="534">
        <v>7.5826000000000001E-3</v>
      </c>
      <c r="D128" s="534">
        <v>7.8843000000000003E-3</v>
      </c>
      <c r="E128" s="534">
        <v>7.8508999999999992E-3</v>
      </c>
      <c r="F128" s="534">
        <v>7.6777E-3</v>
      </c>
      <c r="G128" s="534">
        <v>7.5066999999999998E-3</v>
      </c>
      <c r="H128" s="534">
        <v>7.5516000000000003E-3</v>
      </c>
      <c r="I128" s="534">
        <v>7.4091000000000001E-3</v>
      </c>
      <c r="J128" s="534">
        <v>7.6696999999999998E-3</v>
      </c>
      <c r="K128" s="534">
        <v>7.4815999999999997E-3</v>
      </c>
      <c r="L128" s="534">
        <v>7.7280999999999999E-3</v>
      </c>
      <c r="M128" s="534">
        <v>7.4111999999999997E-3</v>
      </c>
      <c r="N128">
        <v>7.7466999999999996E-3</v>
      </c>
      <c r="O128">
        <v>7.5596999999999999E-3</v>
      </c>
      <c r="P128">
        <v>7.6005999999999999E-3</v>
      </c>
      <c r="Q128">
        <v>7.6639999999999998E-3</v>
      </c>
      <c r="R128">
        <v>7.3046999999999999E-3</v>
      </c>
      <c r="S128">
        <v>6.9090000000000002E-3</v>
      </c>
      <c r="T128">
        <v>6.8931000000000001E-3</v>
      </c>
      <c r="U128">
        <v>6.7898000000000003E-3</v>
      </c>
      <c r="V128">
        <v>6.9093999999999996E-3</v>
      </c>
      <c r="W128">
        <v>6.8133000000000004E-3</v>
      </c>
      <c r="X128">
        <v>6.7714999999999997E-3</v>
      </c>
      <c r="Y128">
        <v>6.4307000000000001E-3</v>
      </c>
      <c r="Z128">
        <v>6.3950999999999999E-3</v>
      </c>
      <c r="AA128">
        <v>6.7600000000000004E-3</v>
      </c>
      <c r="AB128">
        <v>6.6537999999999996E-3</v>
      </c>
      <c r="AC128">
        <v>6.4061999999999999E-3</v>
      </c>
      <c r="AD128">
        <v>6.3162000000000001E-3</v>
      </c>
    </row>
    <row r="129" spans="1:30">
      <c r="A129">
        <v>565</v>
      </c>
      <c r="B129" t="s">
        <v>120</v>
      </c>
      <c r="M129" s="534">
        <v>1.2549999999999999E-4</v>
      </c>
      <c r="N129">
        <v>1.219E-4</v>
      </c>
      <c r="O129">
        <v>1.2909999999999999E-4</v>
      </c>
      <c r="P129">
        <v>1.2990000000000001E-4</v>
      </c>
      <c r="Q129">
        <v>1.304E-4</v>
      </c>
      <c r="R129">
        <v>1.3579999999999999E-4</v>
      </c>
      <c r="S129">
        <v>1.3880000000000001E-4</v>
      </c>
      <c r="T129">
        <v>1.4300000000000001E-4</v>
      </c>
      <c r="U129">
        <v>1.086E-4</v>
      </c>
      <c r="V129">
        <v>1.141E-4</v>
      </c>
      <c r="W129">
        <v>1.5809999999999999E-4</v>
      </c>
      <c r="X129">
        <v>1.5789999999999999E-4</v>
      </c>
      <c r="Y129">
        <v>1.5770000000000001E-4</v>
      </c>
      <c r="Z129">
        <v>1.638E-4</v>
      </c>
      <c r="AA129">
        <v>1.705E-4</v>
      </c>
      <c r="AB129">
        <v>1.718E-4</v>
      </c>
      <c r="AC129">
        <v>1.7479999999999999E-4</v>
      </c>
      <c r="AD129">
        <v>1.794E-4</v>
      </c>
    </row>
    <row r="130" spans="1:30">
      <c r="A130">
        <v>570</v>
      </c>
      <c r="B130" t="s">
        <v>121</v>
      </c>
      <c r="C130" s="534">
        <v>6.1299999999999999E-5</v>
      </c>
      <c r="D130" s="534">
        <v>7.0099999999999996E-5</v>
      </c>
      <c r="E130" s="534">
        <v>7.0400000000000004E-5</v>
      </c>
      <c r="F130" s="534">
        <v>7.3399999999999995E-5</v>
      </c>
      <c r="G130" s="534">
        <v>7.6699999999999994E-5</v>
      </c>
      <c r="H130" s="534">
        <v>6.9900000000000005E-5</v>
      </c>
      <c r="I130" s="534">
        <v>8.9900000000000003E-5</v>
      </c>
      <c r="J130" s="534">
        <v>8.7299999999999994E-5</v>
      </c>
      <c r="K130" s="534">
        <v>8.9300000000000002E-5</v>
      </c>
      <c r="L130" s="534">
        <v>9.3499999999999996E-5</v>
      </c>
      <c r="M130" s="534">
        <v>9.2600000000000001E-5</v>
      </c>
      <c r="N130">
        <v>9.6199999999999994E-5</v>
      </c>
      <c r="O130">
        <v>1.016E-4</v>
      </c>
      <c r="P130">
        <v>9.8200000000000002E-5</v>
      </c>
      <c r="Q130">
        <v>1.02E-4</v>
      </c>
      <c r="R130">
        <v>1.027E-4</v>
      </c>
      <c r="S130">
        <v>1.033E-4</v>
      </c>
      <c r="T130">
        <v>1.0399999999999999E-4</v>
      </c>
      <c r="U130">
        <v>1.0399999999999999E-4</v>
      </c>
      <c r="V130">
        <v>1.0399999999999999E-4</v>
      </c>
      <c r="W130">
        <v>1.0289999999999999E-4</v>
      </c>
      <c r="X130">
        <v>1.03E-4</v>
      </c>
      <c r="Y130">
        <v>9.5600000000000006E-5</v>
      </c>
      <c r="Z130">
        <v>9.48E-5</v>
      </c>
      <c r="AA130">
        <v>9.6899999999999997E-5</v>
      </c>
      <c r="AB130">
        <v>9.7600000000000001E-5</v>
      </c>
      <c r="AC130">
        <v>9.6899999999999997E-5</v>
      </c>
      <c r="AD130">
        <v>9.7600000000000001E-5</v>
      </c>
    </row>
    <row r="131" spans="1:30">
      <c r="A131">
        <v>571</v>
      </c>
      <c r="B131" t="s">
        <v>122</v>
      </c>
      <c r="C131" s="534">
        <v>7.2100000000000004E-5</v>
      </c>
      <c r="D131" s="534">
        <v>7.0900000000000002E-5</v>
      </c>
      <c r="E131" s="534">
        <v>7.08E-5</v>
      </c>
      <c r="F131" s="534">
        <v>7.0599999999999995E-5</v>
      </c>
      <c r="G131" s="534">
        <v>6.7100000000000005E-5</v>
      </c>
      <c r="H131" s="534">
        <v>6.8100000000000002E-5</v>
      </c>
      <c r="I131" s="534">
        <v>7.5099999999999996E-5</v>
      </c>
      <c r="J131" s="534">
        <v>9.2700000000000004E-5</v>
      </c>
      <c r="K131" s="534">
        <v>9.5299999999999999E-5</v>
      </c>
      <c r="L131" s="534">
        <v>1.2579999999999999E-4</v>
      </c>
      <c r="M131" s="534">
        <v>1.2870000000000001E-4</v>
      </c>
      <c r="N131">
        <v>1.2740000000000001E-4</v>
      </c>
      <c r="O131">
        <v>1.438E-4</v>
      </c>
      <c r="P131">
        <v>1.6029999999999999E-4</v>
      </c>
      <c r="Q131">
        <v>1.7359999999999999E-4</v>
      </c>
      <c r="R131">
        <v>1.728E-4</v>
      </c>
      <c r="S131">
        <v>1.7469999999999999E-4</v>
      </c>
      <c r="T131">
        <v>1.874E-4</v>
      </c>
      <c r="U131">
        <v>1.961E-4</v>
      </c>
      <c r="V131">
        <v>1.9469999999999999E-4</v>
      </c>
      <c r="W131">
        <v>2.0689999999999999E-4</v>
      </c>
      <c r="X131">
        <v>1.8450000000000001E-4</v>
      </c>
      <c r="Y131">
        <v>1.864E-4</v>
      </c>
      <c r="Z131">
        <v>1.942E-4</v>
      </c>
      <c r="AA131">
        <v>1.906E-4</v>
      </c>
      <c r="AB131">
        <v>1.9139999999999999E-4</v>
      </c>
      <c r="AC131">
        <v>1.8569999999999999E-4</v>
      </c>
      <c r="AD131">
        <v>1.8679999999999999E-4</v>
      </c>
    </row>
    <row r="132" spans="1:30">
      <c r="A132">
        <v>572</v>
      </c>
      <c r="B132" t="s">
        <v>123</v>
      </c>
      <c r="C132" s="534">
        <v>4.5300000000000003E-5</v>
      </c>
      <c r="D132" s="534">
        <v>4.85E-5</v>
      </c>
      <c r="E132" s="534">
        <v>4.8900000000000003E-5</v>
      </c>
      <c r="F132" s="534">
        <v>5.2899999999999998E-5</v>
      </c>
      <c r="G132" s="534">
        <v>4.7599999999999998E-5</v>
      </c>
      <c r="H132" s="534">
        <v>4.7899999999999999E-5</v>
      </c>
      <c r="I132" s="534">
        <v>4.88E-5</v>
      </c>
      <c r="J132" s="534">
        <v>4.8399999999999997E-5</v>
      </c>
      <c r="K132" s="534">
        <v>4.8399999999999997E-5</v>
      </c>
      <c r="L132" s="534">
        <v>5.5899999999999997E-5</v>
      </c>
      <c r="M132" s="534">
        <v>4.9599999999999999E-5</v>
      </c>
      <c r="N132">
        <v>5.1799999999999999E-5</v>
      </c>
      <c r="O132">
        <v>6.1199999999999997E-5</v>
      </c>
      <c r="P132">
        <v>5.5800000000000001E-5</v>
      </c>
      <c r="Q132">
        <v>5.7800000000000002E-5</v>
      </c>
      <c r="R132">
        <v>5.8199999999999998E-5</v>
      </c>
      <c r="S132">
        <v>5.8999999999999998E-5</v>
      </c>
      <c r="T132">
        <v>6.0900000000000003E-5</v>
      </c>
      <c r="U132">
        <v>6.3800000000000006E-5</v>
      </c>
      <c r="V132">
        <v>6.2899999999999997E-5</v>
      </c>
      <c r="W132">
        <v>9.5000000000000005E-5</v>
      </c>
      <c r="X132">
        <v>4.9499999999999997E-5</v>
      </c>
      <c r="Y132">
        <v>5.6400000000000002E-5</v>
      </c>
      <c r="Z132">
        <v>5.63E-5</v>
      </c>
      <c r="AA132">
        <v>5.6199999999999997E-5</v>
      </c>
      <c r="AB132">
        <v>5.66E-5</v>
      </c>
      <c r="AC132">
        <v>5.6799999999999998E-5</v>
      </c>
      <c r="AD132">
        <v>5.7099999999999999E-5</v>
      </c>
    </row>
    <row r="133" spans="1:30">
      <c r="A133">
        <v>580</v>
      </c>
      <c r="B133" t="s">
        <v>124</v>
      </c>
      <c r="C133" s="534">
        <v>6.0559999999999998E-4</v>
      </c>
      <c r="D133" s="534">
        <v>6.3889999999999997E-4</v>
      </c>
      <c r="E133" s="534">
        <v>6.5110000000000005E-4</v>
      </c>
      <c r="F133" s="534">
        <v>6.3739999999999999E-4</v>
      </c>
      <c r="G133" s="534">
        <v>6.3880000000000002E-4</v>
      </c>
      <c r="H133" s="534">
        <v>6.179E-4</v>
      </c>
      <c r="I133" s="534">
        <v>6.3980000000000005E-4</v>
      </c>
      <c r="J133" s="534">
        <v>6.447E-4</v>
      </c>
      <c r="K133" s="534">
        <v>6.2160000000000004E-4</v>
      </c>
      <c r="L133" s="534">
        <v>6.3250000000000003E-4</v>
      </c>
      <c r="M133" s="534">
        <v>5.8940000000000002E-4</v>
      </c>
      <c r="N133">
        <v>6.1530000000000005E-4</v>
      </c>
      <c r="O133">
        <v>6.8139999999999997E-4</v>
      </c>
      <c r="P133">
        <v>6.9439999999999997E-4</v>
      </c>
      <c r="Q133">
        <v>7.0890000000000005E-4</v>
      </c>
      <c r="R133">
        <v>7.1400000000000001E-4</v>
      </c>
      <c r="S133">
        <v>7.2599999999999997E-4</v>
      </c>
      <c r="T133">
        <v>7.3320000000000004E-4</v>
      </c>
      <c r="U133">
        <v>7.0560000000000002E-4</v>
      </c>
      <c r="V133">
        <v>8.4469999999999999E-4</v>
      </c>
      <c r="W133">
        <v>8.3779999999999998E-4</v>
      </c>
      <c r="X133">
        <v>8.1760000000000003E-4</v>
      </c>
      <c r="Y133">
        <v>7.1469999999999997E-4</v>
      </c>
      <c r="Z133">
        <v>7.1020000000000002E-4</v>
      </c>
      <c r="AA133">
        <v>7.0680000000000005E-4</v>
      </c>
      <c r="AB133">
        <v>6.778E-4</v>
      </c>
      <c r="AC133">
        <v>6.9729999999999998E-4</v>
      </c>
      <c r="AD133">
        <v>7.1100000000000004E-4</v>
      </c>
    </row>
    <row r="134" spans="1:30">
      <c r="A134">
        <v>581</v>
      </c>
      <c r="B134" t="s">
        <v>125</v>
      </c>
      <c r="C134" s="534">
        <v>2.1399999999999998E-5</v>
      </c>
      <c r="D134" s="534">
        <v>2.1500000000000001E-5</v>
      </c>
      <c r="E134" s="534">
        <v>2.1500000000000001E-5</v>
      </c>
      <c r="F134" s="534">
        <v>2.55E-5</v>
      </c>
      <c r="G134" s="534">
        <v>2.16E-5</v>
      </c>
      <c r="H134" s="534">
        <v>2.5700000000000001E-5</v>
      </c>
      <c r="I134" s="534">
        <v>2.6400000000000001E-5</v>
      </c>
      <c r="J134" s="534">
        <v>2.2399999999999999E-5</v>
      </c>
      <c r="K134" s="534">
        <v>2.6299999999999999E-5</v>
      </c>
      <c r="L134" s="534">
        <v>2.6699999999999998E-5</v>
      </c>
      <c r="M134" s="534">
        <v>2.6699999999999998E-5</v>
      </c>
      <c r="N134">
        <v>2.8E-5</v>
      </c>
      <c r="O134">
        <v>2.87E-5</v>
      </c>
      <c r="P134">
        <v>2.62E-5</v>
      </c>
      <c r="Q134">
        <v>2.6599999999999999E-5</v>
      </c>
      <c r="R134">
        <v>2.6999999999999999E-5</v>
      </c>
      <c r="S134">
        <v>2.7500000000000001E-5</v>
      </c>
      <c r="T134">
        <v>2.7900000000000001E-5</v>
      </c>
      <c r="U134">
        <v>2.7900000000000001E-5</v>
      </c>
      <c r="V134">
        <v>2.83E-5</v>
      </c>
      <c r="W134">
        <v>2.87E-5</v>
      </c>
      <c r="X134">
        <v>2.8500000000000002E-5</v>
      </c>
      <c r="Y134">
        <v>2.2900000000000001E-5</v>
      </c>
      <c r="Z134">
        <v>2.3099999999999999E-5</v>
      </c>
      <c r="AA134">
        <v>2.3300000000000001E-5</v>
      </c>
      <c r="AB134">
        <v>2.3499999999999999E-5</v>
      </c>
      <c r="AC134">
        <v>2.37E-5</v>
      </c>
      <c r="AD134">
        <v>2.3900000000000002E-5</v>
      </c>
    </row>
    <row r="135" spans="1:30">
      <c r="A135">
        <v>590</v>
      </c>
      <c r="B135" t="s">
        <v>126</v>
      </c>
      <c r="C135" s="534">
        <v>6.86E-5</v>
      </c>
      <c r="D135" s="534">
        <v>6.8499999999999998E-5</v>
      </c>
      <c r="E135" s="534">
        <v>6.9200000000000002E-5</v>
      </c>
      <c r="F135" s="534">
        <v>7.2999999999999999E-5</v>
      </c>
      <c r="G135" s="534">
        <v>6.8100000000000002E-5</v>
      </c>
      <c r="H135" s="534">
        <v>6.9300000000000004E-5</v>
      </c>
      <c r="I135" s="534">
        <v>6.9099999999999999E-5</v>
      </c>
      <c r="J135" s="534">
        <v>6.7899999999999997E-5</v>
      </c>
      <c r="K135" s="534">
        <v>6.6400000000000001E-5</v>
      </c>
      <c r="L135" s="534">
        <v>6.6000000000000005E-5</v>
      </c>
      <c r="M135" s="534">
        <v>6.41E-5</v>
      </c>
      <c r="N135">
        <v>6.5300000000000002E-5</v>
      </c>
      <c r="O135">
        <v>6.6500000000000004E-5</v>
      </c>
      <c r="P135">
        <v>6.5400000000000004E-5</v>
      </c>
      <c r="Q135">
        <v>6.4499999999999996E-5</v>
      </c>
      <c r="R135">
        <v>6.3499999999999999E-5</v>
      </c>
      <c r="S135">
        <v>7.8800000000000004E-5</v>
      </c>
      <c r="T135">
        <v>7.6899999999999999E-5</v>
      </c>
      <c r="U135">
        <v>8.2799999999999993E-5</v>
      </c>
      <c r="V135">
        <v>8.0400000000000003E-5</v>
      </c>
      <c r="W135">
        <v>6.7500000000000001E-5</v>
      </c>
      <c r="X135">
        <v>7.7200000000000006E-5</v>
      </c>
      <c r="Y135">
        <v>8.4499999999999994E-5</v>
      </c>
      <c r="Z135">
        <v>8.0900000000000001E-5</v>
      </c>
      <c r="AA135">
        <v>8.2000000000000001E-5</v>
      </c>
      <c r="AB135">
        <v>6.7799999999999995E-5</v>
      </c>
      <c r="AC135">
        <v>6.3700000000000003E-5</v>
      </c>
      <c r="AD135">
        <v>6.1799999999999998E-5</v>
      </c>
    </row>
    <row r="136" spans="1:30">
      <c r="A136">
        <v>591</v>
      </c>
      <c r="B136" t="s">
        <v>127</v>
      </c>
      <c r="C136" s="23">
        <v>3.7799999999999998E-6</v>
      </c>
      <c r="D136" s="23">
        <v>3.9199999999999997E-6</v>
      </c>
      <c r="E136" s="23">
        <v>9.8500000000000006E-6</v>
      </c>
      <c r="F136" s="534">
        <v>1.04E-5</v>
      </c>
      <c r="G136" s="23">
        <v>9.9199999999999999E-6</v>
      </c>
      <c r="H136" s="23">
        <v>1.0000000000000001E-5</v>
      </c>
      <c r="I136" s="534">
        <v>1.01E-5</v>
      </c>
      <c r="J136" s="534">
        <v>1.0499999999999999E-5</v>
      </c>
      <c r="K136" s="23">
        <v>9.7899999999999994E-6</v>
      </c>
      <c r="L136" s="534">
        <v>1.0900000000000001E-5</v>
      </c>
      <c r="M136" s="23">
        <v>9.7999999999999993E-6</v>
      </c>
      <c r="N136">
        <v>1.19E-5</v>
      </c>
      <c r="O136">
        <v>1.24E-5</v>
      </c>
      <c r="P136">
        <v>1.2300000000000001E-5</v>
      </c>
      <c r="Q136">
        <v>1.2099999999999999E-5</v>
      </c>
      <c r="R136" s="23">
        <v>5.6899999999999997E-6</v>
      </c>
      <c r="S136" s="23">
        <v>5.4E-6</v>
      </c>
      <c r="T136" s="23">
        <v>5.2000000000000002E-6</v>
      </c>
      <c r="U136" s="23">
        <v>5.4700000000000001E-6</v>
      </c>
      <c r="V136" s="23">
        <v>4.5600000000000004E-6</v>
      </c>
      <c r="W136" s="23">
        <v>4.4900000000000002E-6</v>
      </c>
      <c r="X136" s="23">
        <v>4.51E-6</v>
      </c>
      <c r="Y136" s="23">
        <v>4.6800000000000001E-6</v>
      </c>
      <c r="Z136" s="23">
        <v>4.33E-6</v>
      </c>
      <c r="AA136" s="23">
        <v>4.6999999999999999E-6</v>
      </c>
      <c r="AB136">
        <v>1.2999999999999999E-5</v>
      </c>
      <c r="AC136" s="23">
        <v>4.5000000000000001E-6</v>
      </c>
      <c r="AD136" s="23">
        <v>3.7699999999999999E-6</v>
      </c>
    </row>
    <row r="137" spans="1:30">
      <c r="A137">
        <v>600</v>
      </c>
      <c r="B137" t="s">
        <v>128</v>
      </c>
      <c r="C137" s="23">
        <v>3.1104000000000001E-3</v>
      </c>
      <c r="D137" s="23">
        <v>3.1248999999999999E-3</v>
      </c>
      <c r="E137" s="534">
        <v>3.1968000000000001E-3</v>
      </c>
      <c r="F137" s="23">
        <v>3.1944999999999999E-3</v>
      </c>
      <c r="G137" s="23">
        <v>3.0925000000000002E-3</v>
      </c>
      <c r="H137" s="534">
        <v>3.1546999999999999E-3</v>
      </c>
      <c r="I137" s="534">
        <v>3.2686999999999998E-3</v>
      </c>
      <c r="J137" s="23">
        <v>3.3514E-3</v>
      </c>
      <c r="K137" s="534">
        <v>3.3381999999999999E-3</v>
      </c>
      <c r="L137" s="23">
        <v>3.4058999999999999E-3</v>
      </c>
      <c r="M137" s="534">
        <v>3.4196000000000001E-3</v>
      </c>
      <c r="N137">
        <v>3.4608E-3</v>
      </c>
      <c r="O137">
        <v>3.5650999999999999E-3</v>
      </c>
      <c r="P137">
        <v>3.5742999999999999E-3</v>
      </c>
      <c r="Q137">
        <v>3.6005999999999998E-3</v>
      </c>
      <c r="R137">
        <v>3.6530999999999998E-3</v>
      </c>
      <c r="S137">
        <v>3.6768E-3</v>
      </c>
      <c r="T137">
        <v>3.6957000000000001E-3</v>
      </c>
      <c r="U137">
        <v>3.8259000000000001E-3</v>
      </c>
      <c r="V137">
        <v>3.8530999999999999E-3</v>
      </c>
      <c r="W137">
        <v>3.8073999999999998E-3</v>
      </c>
      <c r="X137">
        <v>3.9829000000000002E-3</v>
      </c>
      <c r="Y137">
        <v>4.0124999999999996E-3</v>
      </c>
      <c r="Z137">
        <v>3.9255000000000002E-3</v>
      </c>
      <c r="AA137">
        <v>4.1425999999999998E-3</v>
      </c>
      <c r="AB137">
        <v>4.2747999999999996E-3</v>
      </c>
      <c r="AC137">
        <v>4.3404999999999997E-3</v>
      </c>
      <c r="AD137">
        <v>4.4708999999999999E-3</v>
      </c>
    </row>
    <row r="138" spans="1:30">
      <c r="A138">
        <v>615</v>
      </c>
      <c r="B138" t="s">
        <v>129</v>
      </c>
      <c r="C138" s="23">
        <v>3.3930000000000002E-3</v>
      </c>
      <c r="D138" s="534">
        <v>4.0048000000000002E-3</v>
      </c>
      <c r="E138" s="23">
        <v>4.7025000000000001E-3</v>
      </c>
      <c r="F138" s="23">
        <v>4.8526999999999997E-3</v>
      </c>
      <c r="G138" s="534">
        <v>4.6233000000000003E-3</v>
      </c>
      <c r="H138" s="534">
        <v>4.5739999999999999E-3</v>
      </c>
      <c r="I138" s="23">
        <v>4.7345E-3</v>
      </c>
      <c r="J138" s="534">
        <v>4.8780000000000004E-3</v>
      </c>
      <c r="K138" s="23">
        <v>4.5544000000000001E-3</v>
      </c>
      <c r="L138" s="534">
        <v>4.4367E-3</v>
      </c>
      <c r="M138" s="534">
        <v>4.4634999999999996E-3</v>
      </c>
      <c r="N138">
        <v>4.5142000000000003E-3</v>
      </c>
      <c r="O138">
        <v>4.7619999999999997E-3</v>
      </c>
      <c r="P138">
        <v>4.6816000000000002E-3</v>
      </c>
      <c r="Q138">
        <v>4.7014999999999999E-3</v>
      </c>
      <c r="R138">
        <v>4.6959999999999997E-3</v>
      </c>
      <c r="S138">
        <v>4.7257999999999996E-3</v>
      </c>
      <c r="T138">
        <v>4.6642999999999997E-3</v>
      </c>
      <c r="U138">
        <v>4.9827999999999999E-3</v>
      </c>
      <c r="V138">
        <v>5.2253000000000004E-3</v>
      </c>
      <c r="W138">
        <v>5.3109000000000003E-3</v>
      </c>
      <c r="X138">
        <v>5.4161000000000001E-3</v>
      </c>
      <c r="Y138">
        <v>5.2344999999999996E-3</v>
      </c>
      <c r="Z138">
        <v>4.9525000000000003E-3</v>
      </c>
      <c r="AA138">
        <v>5.0545E-3</v>
      </c>
      <c r="AB138">
        <v>5.1596999999999997E-3</v>
      </c>
      <c r="AC138">
        <v>5.1216999999999999E-3</v>
      </c>
      <c r="AD138">
        <v>5.2899000000000002E-3</v>
      </c>
    </row>
    <row r="139" spans="1:30">
      <c r="A139">
        <v>616</v>
      </c>
      <c r="B139" t="s">
        <v>130</v>
      </c>
      <c r="C139" s="534">
        <v>7.1449999999999997E-4</v>
      </c>
      <c r="D139" s="23">
        <v>6.7889999999999997E-4</v>
      </c>
      <c r="E139" s="23">
        <v>6.9850000000000001E-4</v>
      </c>
      <c r="F139" s="534">
        <v>7.0739999999999996E-4</v>
      </c>
      <c r="G139" s="534">
        <v>7.8470000000000005E-4</v>
      </c>
      <c r="H139" s="23">
        <v>8.005E-4</v>
      </c>
      <c r="I139" s="534">
        <v>8.0040000000000005E-4</v>
      </c>
      <c r="J139" s="23">
        <v>7.9659999999999996E-4</v>
      </c>
      <c r="K139" s="534">
        <v>7.9199999999999995E-4</v>
      </c>
      <c r="L139" s="534">
        <v>8.1459999999999996E-4</v>
      </c>
      <c r="M139" s="534">
        <v>7.4989999999999996E-4</v>
      </c>
      <c r="N139">
        <v>8.0400000000000003E-4</v>
      </c>
      <c r="O139">
        <v>8.4590000000000002E-4</v>
      </c>
      <c r="P139">
        <v>7.9679999999999996E-4</v>
      </c>
      <c r="Q139">
        <v>8.1970000000000003E-4</v>
      </c>
      <c r="R139">
        <v>8.3500000000000002E-4</v>
      </c>
      <c r="S139">
        <v>8.4139999999999996E-4</v>
      </c>
      <c r="T139">
        <v>8.2830000000000002E-4</v>
      </c>
      <c r="U139">
        <v>8.3929999999999996E-4</v>
      </c>
      <c r="V139">
        <v>8.4400000000000002E-4</v>
      </c>
      <c r="W139">
        <v>8.4099999999999995E-4</v>
      </c>
      <c r="X139">
        <v>8.6560000000000001E-4</v>
      </c>
      <c r="Y139">
        <v>8.4219999999999998E-4</v>
      </c>
      <c r="Z139">
        <v>8.0999999999999996E-4</v>
      </c>
      <c r="AA139">
        <v>8.1490000000000002E-4</v>
      </c>
      <c r="AB139">
        <v>8.298E-4</v>
      </c>
      <c r="AC139">
        <v>8.3029999999999996E-4</v>
      </c>
      <c r="AD139">
        <v>8.2209999999999998E-4</v>
      </c>
    </row>
    <row r="140" spans="1:30">
      <c r="A140">
        <v>620</v>
      </c>
      <c r="B140" t="s">
        <v>131</v>
      </c>
      <c r="C140" s="23">
        <v>1.9889999999999999E-3</v>
      </c>
      <c r="D140" s="534">
        <v>1.3022000000000001E-3</v>
      </c>
      <c r="E140" s="534">
        <v>1.9040000000000001E-3</v>
      </c>
      <c r="F140" s="23">
        <v>2.1599000000000002E-3</v>
      </c>
      <c r="G140" s="534">
        <v>2.3766E-3</v>
      </c>
      <c r="H140" s="23">
        <v>1.6126000000000001E-3</v>
      </c>
      <c r="I140" s="534">
        <v>1.6490000000000001E-3</v>
      </c>
      <c r="J140" s="534">
        <v>1.6253000000000001E-3</v>
      </c>
      <c r="K140" s="534">
        <v>1.6184999999999999E-3</v>
      </c>
      <c r="L140" s="534">
        <v>1.7426E-3</v>
      </c>
      <c r="M140" s="534">
        <v>1.9095E-3</v>
      </c>
      <c r="N140">
        <v>2.2307E-3</v>
      </c>
      <c r="O140">
        <v>2.1940000000000002E-3</v>
      </c>
      <c r="P140">
        <v>2.0531999999999998E-3</v>
      </c>
      <c r="Q140">
        <v>1.9570999999999998E-3</v>
      </c>
      <c r="R140">
        <v>1.9354999999999999E-3</v>
      </c>
      <c r="S140">
        <v>1.8825000000000001E-3</v>
      </c>
      <c r="T140">
        <v>1.8595E-3</v>
      </c>
      <c r="U140">
        <v>1.8847E-3</v>
      </c>
      <c r="V140">
        <v>1.9721000000000001E-3</v>
      </c>
      <c r="W140">
        <v>1.8609E-3</v>
      </c>
      <c r="X140">
        <v>1.7133999999999999E-3</v>
      </c>
      <c r="Y140">
        <v>1.6946000000000001E-3</v>
      </c>
      <c r="Z140">
        <v>1.6628999999999999E-3</v>
      </c>
      <c r="AA140">
        <v>1.7393E-3</v>
      </c>
      <c r="AB140">
        <v>1.7778E-3</v>
      </c>
      <c r="AC140">
        <v>1.7477E-3</v>
      </c>
      <c r="AD140">
        <v>1.7627000000000001E-3</v>
      </c>
    </row>
    <row r="141" spans="1:30">
      <c r="A141">
        <v>625</v>
      </c>
      <c r="B141" t="s">
        <v>132</v>
      </c>
      <c r="C141" s="23">
        <v>1.588E-3</v>
      </c>
      <c r="D141" s="534">
        <v>1.7600000000000001E-3</v>
      </c>
      <c r="E141" s="534">
        <v>1.7749E-3</v>
      </c>
      <c r="F141" s="23">
        <v>1.7604999999999999E-3</v>
      </c>
      <c r="G141" s="534">
        <v>1.6299000000000001E-3</v>
      </c>
      <c r="H141" s="23">
        <v>1.6969000000000001E-3</v>
      </c>
      <c r="I141" s="534">
        <v>1.6929E-3</v>
      </c>
      <c r="J141" s="534">
        <v>1.7294999999999999E-3</v>
      </c>
      <c r="K141" s="534">
        <v>1.7912E-3</v>
      </c>
      <c r="L141" s="534">
        <v>1.8411E-3</v>
      </c>
      <c r="M141" s="534">
        <v>1.8458999999999999E-3</v>
      </c>
      <c r="N141">
        <v>1.9613999999999999E-3</v>
      </c>
      <c r="O141">
        <v>2.2620000000000001E-3</v>
      </c>
      <c r="P141">
        <v>2.1143999999999998E-3</v>
      </c>
      <c r="Q141">
        <v>2.1616999999999999E-3</v>
      </c>
      <c r="R141">
        <v>2.1410000000000001E-3</v>
      </c>
      <c r="S141">
        <v>2.1591000000000002E-3</v>
      </c>
      <c r="T141">
        <v>2.2934000000000001E-3</v>
      </c>
      <c r="U141">
        <v>2.3154999999999999E-3</v>
      </c>
      <c r="V141">
        <v>2.3286000000000001E-3</v>
      </c>
      <c r="W141">
        <v>2.3703000000000001E-3</v>
      </c>
      <c r="X141">
        <v>2.6029E-3</v>
      </c>
      <c r="Y141">
        <v>2.5796999999999999E-3</v>
      </c>
      <c r="Z141">
        <v>2.4405E-3</v>
      </c>
      <c r="AA141">
        <v>2.5270000000000002E-3</v>
      </c>
      <c r="AB141">
        <v>2.6724000000000001E-3</v>
      </c>
      <c r="AC141">
        <v>2.5986E-3</v>
      </c>
      <c r="AD141">
        <v>3.0763000000000001E-3</v>
      </c>
    </row>
    <row r="142" spans="1:30">
      <c r="A142">
        <v>630</v>
      </c>
      <c r="B142" t="s">
        <v>133</v>
      </c>
      <c r="C142" s="534">
        <v>7.9635999999999995E-3</v>
      </c>
      <c r="D142" s="534">
        <v>7.9705999999999996E-3</v>
      </c>
      <c r="E142" s="23">
        <v>1.0299000000000001E-2</v>
      </c>
      <c r="F142" s="534">
        <v>1.01569E-2</v>
      </c>
      <c r="G142" s="23">
        <v>1.16239E-2</v>
      </c>
      <c r="H142" s="534">
        <v>1.06173E-2</v>
      </c>
      <c r="I142" s="534">
        <v>8.6014999999999998E-3</v>
      </c>
      <c r="J142" s="534">
        <v>9.1722000000000001E-3</v>
      </c>
      <c r="K142" s="534">
        <v>1.1090900000000001E-2</v>
      </c>
      <c r="L142" s="534">
        <v>1.1122699999999999E-2</v>
      </c>
      <c r="M142" s="534">
        <v>9.0729999999999995E-3</v>
      </c>
      <c r="N142">
        <v>1.04108E-2</v>
      </c>
      <c r="O142">
        <v>1.05153E-2</v>
      </c>
      <c r="P142">
        <v>1.07061E-2</v>
      </c>
      <c r="Q142">
        <v>1.15032E-2</v>
      </c>
      <c r="R142">
        <v>1.1840399999999999E-2</v>
      </c>
      <c r="S142">
        <v>1.1984399999999999E-2</v>
      </c>
      <c r="T142">
        <v>1.2514900000000001E-2</v>
      </c>
      <c r="U142">
        <v>1.21628E-2</v>
      </c>
      <c r="V142">
        <v>1.23099E-2</v>
      </c>
      <c r="W142">
        <v>1.24114E-2</v>
      </c>
      <c r="X142">
        <v>1.2638E-2</v>
      </c>
      <c r="Y142">
        <v>1.23991E-2</v>
      </c>
      <c r="Z142">
        <v>1.25069E-2</v>
      </c>
      <c r="AA142">
        <v>1.2478100000000001E-2</v>
      </c>
      <c r="AB142">
        <v>1.24365E-2</v>
      </c>
      <c r="AC142">
        <v>1.36481E-2</v>
      </c>
      <c r="AD142">
        <v>1.34501E-2</v>
      </c>
    </row>
    <row r="143" spans="1:30">
      <c r="A143">
        <v>640</v>
      </c>
      <c r="B143" t="s">
        <v>134</v>
      </c>
      <c r="C143" s="534">
        <v>9.5531999999999995E-3</v>
      </c>
      <c r="D143" s="23">
        <v>9.7625000000000003E-3</v>
      </c>
      <c r="E143" s="534">
        <v>1.0048E-2</v>
      </c>
      <c r="F143" s="23">
        <v>1.0754E-2</v>
      </c>
      <c r="G143" s="534">
        <v>1.0944600000000001E-2</v>
      </c>
      <c r="H143" s="534">
        <v>1.15278E-2</v>
      </c>
      <c r="I143" s="534">
        <v>1.23152E-2</v>
      </c>
      <c r="J143" s="534">
        <v>1.3089399999999999E-2</v>
      </c>
      <c r="K143" s="534">
        <v>1.32923E-2</v>
      </c>
      <c r="L143" s="534">
        <v>1.25039E-2</v>
      </c>
      <c r="M143" s="534">
        <v>1.2725200000000001E-2</v>
      </c>
      <c r="N143">
        <v>1.39737E-2</v>
      </c>
      <c r="O143">
        <v>1.38949E-2</v>
      </c>
      <c r="P143">
        <v>1.44736E-2</v>
      </c>
      <c r="Q143">
        <v>1.5649900000000001E-2</v>
      </c>
      <c r="R143">
        <v>1.57004E-2</v>
      </c>
      <c r="S143">
        <v>1.6447799999999999E-2</v>
      </c>
      <c r="T143">
        <v>1.6756699999999999E-2</v>
      </c>
      <c r="U143">
        <v>1.6802600000000001E-2</v>
      </c>
      <c r="V143">
        <v>1.6695600000000001E-2</v>
      </c>
      <c r="W143">
        <v>1.50037E-2</v>
      </c>
      <c r="X143">
        <v>1.3859399999999999E-2</v>
      </c>
      <c r="Y143">
        <v>1.39846E-2</v>
      </c>
      <c r="Z143">
        <v>1.3908800000000001E-2</v>
      </c>
      <c r="AA143">
        <v>1.38756E-2</v>
      </c>
      <c r="AB143">
        <v>1.39533E-2</v>
      </c>
      <c r="AC143">
        <v>1.42525E-2</v>
      </c>
      <c r="AD143">
        <v>1.4317E-2</v>
      </c>
    </row>
    <row r="144" spans="1:30">
      <c r="A144">
        <v>645</v>
      </c>
      <c r="B144" t="s">
        <v>135</v>
      </c>
      <c r="C144" s="23">
        <v>6.0637E-3</v>
      </c>
      <c r="D144" s="534">
        <v>6.6795999999999999E-3</v>
      </c>
      <c r="E144" s="23">
        <v>6.6296999999999997E-3</v>
      </c>
      <c r="F144" s="534">
        <v>8.2909999999999998E-3</v>
      </c>
      <c r="G144" s="534">
        <v>1.01306E-2</v>
      </c>
      <c r="H144" s="534">
        <v>9.9915000000000004E-3</v>
      </c>
      <c r="I144" s="534">
        <v>9.5674999999999996E-3</v>
      </c>
      <c r="J144" s="534">
        <v>1.0525E-2</v>
      </c>
      <c r="K144" s="534">
        <v>1.08232E-2</v>
      </c>
      <c r="L144" s="534">
        <v>1.10209E-2</v>
      </c>
      <c r="M144" s="534">
        <v>1.25427E-2</v>
      </c>
      <c r="N144">
        <v>8.2626999999999996E-3</v>
      </c>
      <c r="O144">
        <v>5.9820000000000003E-3</v>
      </c>
      <c r="P144">
        <v>6.0721000000000004E-3</v>
      </c>
      <c r="Q144">
        <v>6.2284000000000003E-3</v>
      </c>
      <c r="R144">
        <v>6.0974999999999996E-3</v>
      </c>
      <c r="S144">
        <v>6.1227E-3</v>
      </c>
      <c r="T144">
        <v>5.7404999999999999E-3</v>
      </c>
      <c r="U144">
        <v>6.0254999999999996E-3</v>
      </c>
      <c r="V144">
        <v>5.9960999999999999E-3</v>
      </c>
      <c r="W144">
        <v>6.0105999999999996E-3</v>
      </c>
      <c r="X144">
        <v>6.2230000000000002E-3</v>
      </c>
      <c r="Y144">
        <v>6.8087E-3</v>
      </c>
      <c r="Z144">
        <v>6.6267000000000001E-3</v>
      </c>
      <c r="AA144">
        <v>5.7524000000000004E-3</v>
      </c>
      <c r="AB144">
        <v>4.7289999999999997E-3</v>
      </c>
      <c r="AC144">
        <v>5.2050000000000004E-3</v>
      </c>
      <c r="AD144">
        <v>5.2218000000000004E-3</v>
      </c>
    </row>
    <row r="145" spans="1:30">
      <c r="A145">
        <v>651</v>
      </c>
      <c r="B145" t="s">
        <v>136</v>
      </c>
      <c r="C145" s="23">
        <v>7.4793999999999998E-3</v>
      </c>
      <c r="D145" s="534">
        <v>7.5681999999999998E-3</v>
      </c>
      <c r="E145" s="534">
        <v>7.5462999999999997E-3</v>
      </c>
      <c r="F145" s="534">
        <v>7.8668999999999996E-3</v>
      </c>
      <c r="G145" s="534">
        <v>7.8085000000000003E-3</v>
      </c>
      <c r="H145" s="534">
        <v>7.8667000000000008E-3</v>
      </c>
      <c r="I145" s="534">
        <v>7.9862000000000006E-3</v>
      </c>
      <c r="J145" s="534">
        <v>8.2152000000000006E-3</v>
      </c>
      <c r="K145" s="534">
        <v>8.4790000000000004E-3</v>
      </c>
      <c r="L145" s="534">
        <v>8.4478999999999995E-3</v>
      </c>
      <c r="M145" s="534">
        <v>7.8499999999999993E-3</v>
      </c>
      <c r="N145">
        <v>8.2863999999999993E-3</v>
      </c>
      <c r="O145">
        <v>8.5444000000000006E-3</v>
      </c>
      <c r="P145">
        <v>8.4834000000000003E-3</v>
      </c>
      <c r="Q145">
        <v>8.5450000000000005E-3</v>
      </c>
      <c r="R145">
        <v>8.5745000000000005E-3</v>
      </c>
      <c r="S145">
        <v>8.6174000000000008E-3</v>
      </c>
      <c r="T145">
        <v>8.6076E-3</v>
      </c>
      <c r="U145">
        <v>8.9011000000000003E-3</v>
      </c>
      <c r="V145">
        <v>8.8190999999999999E-3</v>
      </c>
      <c r="W145">
        <v>9.1751000000000003E-3</v>
      </c>
      <c r="X145">
        <v>9.4172000000000006E-3</v>
      </c>
      <c r="Y145">
        <v>9.2523999999999992E-3</v>
      </c>
      <c r="Z145">
        <v>9.0033000000000005E-3</v>
      </c>
      <c r="AA145">
        <v>9.3258999999999998E-3</v>
      </c>
      <c r="AB145">
        <v>9.6214000000000004E-3</v>
      </c>
      <c r="AC145">
        <v>9.6773999999999992E-3</v>
      </c>
      <c r="AD145">
        <v>9.7128000000000006E-3</v>
      </c>
    </row>
    <row r="146" spans="1:30">
      <c r="A146">
        <v>652</v>
      </c>
      <c r="B146" t="s">
        <v>137</v>
      </c>
      <c r="C146" s="23">
        <v>3.1077000000000001E-3</v>
      </c>
      <c r="D146" s="534">
        <v>3.2856999999999999E-3</v>
      </c>
      <c r="E146" s="534">
        <v>3.4061999999999999E-3</v>
      </c>
      <c r="F146" s="534">
        <v>4.0619000000000002E-3</v>
      </c>
      <c r="G146" s="534">
        <v>4.0726E-3</v>
      </c>
      <c r="H146" s="534">
        <v>4.2033000000000001E-3</v>
      </c>
      <c r="I146" s="534">
        <v>4.1330000000000004E-3</v>
      </c>
      <c r="J146" s="534">
        <v>4.1666999999999997E-3</v>
      </c>
      <c r="K146" s="534">
        <v>3.7169999999999998E-3</v>
      </c>
      <c r="L146" s="534">
        <v>3.7859E-3</v>
      </c>
      <c r="M146" s="534">
        <v>3.8576000000000001E-3</v>
      </c>
      <c r="N146">
        <v>4.7177E-3</v>
      </c>
      <c r="O146">
        <v>4.4273000000000003E-3</v>
      </c>
      <c r="P146">
        <v>4.8479999999999999E-3</v>
      </c>
      <c r="Q146">
        <v>3.9278000000000004E-3</v>
      </c>
      <c r="R146">
        <v>3.9186000000000004E-3</v>
      </c>
      <c r="S146">
        <v>4.0923000000000001E-3</v>
      </c>
      <c r="T146">
        <v>4.2268999999999996E-3</v>
      </c>
      <c r="U146">
        <v>4.0777000000000001E-3</v>
      </c>
      <c r="V146">
        <v>4.0664999999999998E-3</v>
      </c>
      <c r="W146">
        <v>4.2234999999999998E-3</v>
      </c>
      <c r="X146">
        <v>4.5247000000000004E-3</v>
      </c>
      <c r="Y146">
        <v>4.3901000000000001E-3</v>
      </c>
      <c r="Z146">
        <v>4.3638000000000001E-3</v>
      </c>
      <c r="AA146">
        <v>4.4628000000000003E-3</v>
      </c>
      <c r="AB146">
        <v>4.4564000000000001E-3</v>
      </c>
      <c r="AC146">
        <v>4.4462E-3</v>
      </c>
      <c r="AD146">
        <v>4.4535E-3</v>
      </c>
    </row>
    <row r="147" spans="1:30">
      <c r="A147">
        <v>660</v>
      </c>
      <c r="B147" t="s">
        <v>138</v>
      </c>
      <c r="C147" s="534">
        <v>4.6539999999999998E-4</v>
      </c>
      <c r="D147" s="534">
        <v>4.4939999999999997E-4</v>
      </c>
      <c r="E147" s="534">
        <v>4.417E-4</v>
      </c>
      <c r="F147" s="534">
        <v>4.373E-4</v>
      </c>
      <c r="G147" s="534">
        <v>4.0319999999999999E-4</v>
      </c>
      <c r="H147" s="534">
        <v>3.7219999999999999E-4</v>
      </c>
      <c r="I147" s="534">
        <v>4.4710000000000003E-4</v>
      </c>
      <c r="J147" s="534">
        <v>5.1270000000000005E-4</v>
      </c>
      <c r="K147" s="534">
        <v>3.2259999999999998E-4</v>
      </c>
      <c r="L147" s="534">
        <v>3.611E-4</v>
      </c>
      <c r="M147" s="534">
        <v>4.2759999999999999E-4</v>
      </c>
      <c r="N147">
        <v>4.5689999999999999E-4</v>
      </c>
      <c r="O147">
        <v>4.9589999999999996E-4</v>
      </c>
      <c r="P147">
        <v>5.1369999999999996E-4</v>
      </c>
      <c r="Q147">
        <v>6.267E-4</v>
      </c>
      <c r="R147">
        <v>6.8939999999999995E-4</v>
      </c>
      <c r="S147">
        <v>6.9870000000000002E-4</v>
      </c>
      <c r="T147">
        <v>7.5860000000000001E-4</v>
      </c>
      <c r="U147">
        <v>7.5960000000000003E-4</v>
      </c>
      <c r="V147">
        <v>7.515E-4</v>
      </c>
      <c r="W147">
        <v>7.9670000000000001E-4</v>
      </c>
      <c r="X147">
        <v>8.876E-4</v>
      </c>
      <c r="Y147">
        <v>8.7719999999999996E-4</v>
      </c>
      <c r="Z147">
        <v>8.566E-4</v>
      </c>
      <c r="AA147">
        <v>8.543E-4</v>
      </c>
      <c r="AB147">
        <v>8.4550000000000001E-4</v>
      </c>
      <c r="AC147">
        <v>8.2779999999999996E-4</v>
      </c>
      <c r="AD147">
        <v>8.4429999999999998E-4</v>
      </c>
    </row>
    <row r="148" spans="1:30">
      <c r="A148">
        <v>663</v>
      </c>
      <c r="B148" t="s">
        <v>139</v>
      </c>
      <c r="C148" s="534">
        <v>8.6359999999999996E-4</v>
      </c>
      <c r="D148" s="534">
        <v>8.7600000000000004E-4</v>
      </c>
      <c r="E148" s="534">
        <v>8.8949999999999999E-4</v>
      </c>
      <c r="F148" s="534">
        <v>9.1620000000000004E-4</v>
      </c>
      <c r="G148" s="534">
        <v>9.2650000000000002E-4</v>
      </c>
      <c r="H148" s="534">
        <v>9.3829999999999998E-4</v>
      </c>
      <c r="I148" s="534">
        <v>1.0036999999999999E-3</v>
      </c>
      <c r="J148" s="534">
        <v>1.0868E-3</v>
      </c>
      <c r="K148" s="534">
        <v>1.4407999999999999E-3</v>
      </c>
      <c r="L148" s="534">
        <v>1.57E-3</v>
      </c>
      <c r="M148" s="534">
        <v>1.0838E-3</v>
      </c>
      <c r="N148">
        <v>1.1291000000000001E-3</v>
      </c>
      <c r="O148">
        <v>1.2159E-3</v>
      </c>
      <c r="P148">
        <v>1.2325999999999999E-3</v>
      </c>
      <c r="Q148">
        <v>1.2527E-3</v>
      </c>
      <c r="R148">
        <v>1.2714E-3</v>
      </c>
      <c r="S148">
        <v>1.2964000000000001E-3</v>
      </c>
      <c r="T148">
        <v>1.3359000000000001E-3</v>
      </c>
      <c r="U148">
        <v>1.4522000000000001E-3</v>
      </c>
      <c r="V148">
        <v>1.5146000000000001E-3</v>
      </c>
      <c r="W148">
        <v>1.374E-3</v>
      </c>
      <c r="X148">
        <v>1.3290999999999999E-3</v>
      </c>
      <c r="Y148">
        <v>1.3484E-3</v>
      </c>
      <c r="Z148">
        <v>1.3404999999999999E-3</v>
      </c>
      <c r="AA148">
        <v>1.3581000000000001E-3</v>
      </c>
      <c r="AB148">
        <v>1.377E-3</v>
      </c>
      <c r="AC148">
        <v>1.3833000000000001E-3</v>
      </c>
      <c r="AD148">
        <v>1.4484000000000001E-3</v>
      </c>
    </row>
    <row r="149" spans="1:30">
      <c r="A149">
        <v>666</v>
      </c>
      <c r="B149" t="s">
        <v>140</v>
      </c>
      <c r="C149" s="534">
        <v>3.2031E-3</v>
      </c>
      <c r="D149" s="534">
        <v>3.2666000000000001E-3</v>
      </c>
      <c r="E149" s="534">
        <v>3.7295000000000002E-3</v>
      </c>
      <c r="F149" s="534">
        <v>3.2396999999999999E-3</v>
      </c>
      <c r="G149" s="534">
        <v>3.0168999999999999E-3</v>
      </c>
      <c r="H149" s="534">
        <v>2.6722E-3</v>
      </c>
      <c r="I149" s="534">
        <v>2.7536000000000001E-3</v>
      </c>
      <c r="J149" s="534">
        <v>2.6020000000000001E-3</v>
      </c>
      <c r="K149" s="534">
        <v>2.7055999999999998E-3</v>
      </c>
      <c r="L149" s="534">
        <v>3.0309999999999998E-3</v>
      </c>
      <c r="M149" s="534">
        <v>2.9583000000000001E-3</v>
      </c>
      <c r="N149">
        <v>2.9185999999999999E-3</v>
      </c>
      <c r="O149">
        <v>3.6143E-3</v>
      </c>
      <c r="P149">
        <v>3.8503999999999999E-3</v>
      </c>
      <c r="Q149">
        <v>3.4911999999999999E-3</v>
      </c>
      <c r="R149">
        <v>3.9692E-3</v>
      </c>
      <c r="S149">
        <v>4.3524000000000002E-3</v>
      </c>
      <c r="T149">
        <v>4.4962999999999999E-3</v>
      </c>
      <c r="U149">
        <v>4.0861999999999999E-3</v>
      </c>
      <c r="V149">
        <v>3.9614000000000003E-3</v>
      </c>
      <c r="W149">
        <v>4.0632999999999997E-3</v>
      </c>
      <c r="X149">
        <v>4.2021999999999997E-3</v>
      </c>
      <c r="Y149">
        <v>3.9643999999999999E-3</v>
      </c>
      <c r="Z149">
        <v>3.8609999999999998E-3</v>
      </c>
      <c r="AA149">
        <v>3.7017999999999999E-3</v>
      </c>
      <c r="AB149">
        <v>3.7905E-3</v>
      </c>
      <c r="AC149">
        <v>3.8160999999999998E-3</v>
      </c>
      <c r="AD149">
        <v>3.6381E-3</v>
      </c>
    </row>
    <row r="150" spans="1:30">
      <c r="A150">
        <v>670</v>
      </c>
      <c r="B150" t="s">
        <v>141</v>
      </c>
      <c r="C150" s="534">
        <v>8.7585000000000007E-3</v>
      </c>
      <c r="D150" s="534">
        <v>9.7966000000000008E-3</v>
      </c>
      <c r="E150" s="534">
        <v>9.5115000000000009E-3</v>
      </c>
      <c r="F150" s="534">
        <v>8.1426999999999992E-3</v>
      </c>
      <c r="G150" s="534">
        <v>7.8563000000000001E-3</v>
      </c>
      <c r="H150" s="534">
        <v>7.1827999999999996E-3</v>
      </c>
      <c r="I150" s="534">
        <v>7.0869000000000001E-3</v>
      </c>
      <c r="J150" s="534">
        <v>6.7704000000000002E-3</v>
      </c>
      <c r="K150" s="534">
        <v>6.4148E-3</v>
      </c>
      <c r="L150" s="534">
        <v>7.2193999999999999E-3</v>
      </c>
      <c r="M150" s="534">
        <v>9.2878000000000006E-3</v>
      </c>
      <c r="N150">
        <v>1.2607800000000001E-2</v>
      </c>
      <c r="O150">
        <v>8.7121000000000004E-3</v>
      </c>
      <c r="P150">
        <v>9.6778999999999997E-3</v>
      </c>
      <c r="Q150">
        <v>8.8205999999999996E-3</v>
      </c>
      <c r="R150">
        <v>8.6537000000000003E-3</v>
      </c>
      <c r="S150">
        <v>8.9224999999999999E-3</v>
      </c>
      <c r="T150">
        <v>8.9269999999999992E-3</v>
      </c>
      <c r="U150">
        <v>9.6880999999999998E-3</v>
      </c>
      <c r="V150">
        <v>9.8609000000000006E-3</v>
      </c>
      <c r="W150">
        <v>1.0196800000000001E-2</v>
      </c>
      <c r="X150">
        <v>1.05801E-2</v>
      </c>
      <c r="Y150">
        <v>9.3754000000000007E-3</v>
      </c>
      <c r="Z150">
        <v>8.9584999999999994E-3</v>
      </c>
      <c r="AA150">
        <v>9.1710000000000003E-3</v>
      </c>
      <c r="AB150">
        <v>9.9935000000000006E-3</v>
      </c>
      <c r="AC150">
        <v>1.0258099999999999E-2</v>
      </c>
      <c r="AD150">
        <v>1.0882899999999999E-2</v>
      </c>
    </row>
    <row r="151" spans="1:30" s="534" customFormat="1">
      <c r="A151" s="534">
        <v>678</v>
      </c>
      <c r="B151" s="534" t="s">
        <v>404</v>
      </c>
      <c r="C151" s="534">
        <v>5.8299999999999997E-4</v>
      </c>
      <c r="D151" s="534">
        <v>5.9929999999999998E-4</v>
      </c>
      <c r="E151" s="534">
        <v>5.2809999999999999E-4</v>
      </c>
      <c r="F151" s="534">
        <v>5.6130000000000004E-4</v>
      </c>
      <c r="G151" s="534">
        <v>5.7470000000000004E-4</v>
      </c>
      <c r="H151" s="534">
        <v>5.4869999999999995E-4</v>
      </c>
      <c r="I151" s="534">
        <v>5.6619999999999999E-4</v>
      </c>
      <c r="J151" s="534">
        <v>6.5930000000000003E-4</v>
      </c>
      <c r="K151" s="534">
        <v>7.8830000000000002E-4</v>
      </c>
      <c r="L151" s="534">
        <v>8.1820000000000005E-4</v>
      </c>
      <c r="M151" s="534">
        <v>1.2684E-3</v>
      </c>
    </row>
    <row r="152" spans="1:30">
      <c r="A152">
        <v>679</v>
      </c>
      <c r="B152" t="s">
        <v>142</v>
      </c>
      <c r="M152" s="534">
        <v>1.5726E-3</v>
      </c>
      <c r="N152">
        <v>1.6835999999999999E-3</v>
      </c>
      <c r="O152">
        <v>1.3098000000000001E-3</v>
      </c>
      <c r="P152">
        <v>1.2098E-3</v>
      </c>
      <c r="Q152">
        <v>1.3166E-3</v>
      </c>
      <c r="R152">
        <v>1.2993E-3</v>
      </c>
      <c r="S152">
        <v>1.3299E-3</v>
      </c>
      <c r="T152">
        <v>1.3592999999999999E-3</v>
      </c>
      <c r="U152">
        <v>1.3718000000000001E-3</v>
      </c>
      <c r="V152">
        <v>1.3891000000000001E-3</v>
      </c>
      <c r="W152">
        <v>1.3912E-3</v>
      </c>
      <c r="X152">
        <v>1.3293000000000001E-3</v>
      </c>
      <c r="Y152">
        <v>1.4708E-3</v>
      </c>
      <c r="Z152">
        <v>1.4689E-3</v>
      </c>
      <c r="AA152">
        <v>1.4935E-3</v>
      </c>
      <c r="AB152">
        <v>1.4794000000000001E-3</v>
      </c>
      <c r="AC152">
        <v>1.5249E-3</v>
      </c>
      <c r="AD152">
        <v>1.5555E-3</v>
      </c>
    </row>
    <row r="153" spans="1:30" s="534" customFormat="1">
      <c r="A153" s="534">
        <v>680</v>
      </c>
      <c r="B153" s="534" t="s">
        <v>405</v>
      </c>
      <c r="C153" s="534">
        <v>3.5290000000000001E-4</v>
      </c>
      <c r="D153" s="534">
        <v>3.524E-4</v>
      </c>
      <c r="E153" s="534">
        <v>3.7770000000000002E-4</v>
      </c>
      <c r="F153" s="534">
        <v>3.793E-4</v>
      </c>
      <c r="G153" s="534">
        <v>3.7070000000000001E-4</v>
      </c>
      <c r="H153" s="534">
        <v>3.726E-4</v>
      </c>
      <c r="I153" s="534">
        <v>4.0709999999999997E-4</v>
      </c>
      <c r="J153" s="534">
        <v>4.4040000000000003E-4</v>
      </c>
      <c r="K153" s="534">
        <v>7.1900000000000002E-4</v>
      </c>
      <c r="L153" s="534">
        <v>7.3220000000000002E-4</v>
      </c>
      <c r="M153" s="534">
        <v>2.5599999999999999E-4</v>
      </c>
    </row>
    <row r="154" spans="1:30">
      <c r="A154">
        <v>690</v>
      </c>
      <c r="B154" t="s">
        <v>143</v>
      </c>
      <c r="C154" s="534">
        <v>1.1481E-3</v>
      </c>
      <c r="D154" s="534">
        <v>1.0801000000000001E-3</v>
      </c>
      <c r="E154" s="534">
        <v>1.016E-3</v>
      </c>
      <c r="F154" s="534">
        <v>1.1218999999999999E-3</v>
      </c>
      <c r="G154" s="534">
        <v>1.0369000000000001E-3</v>
      </c>
      <c r="H154" s="534">
        <v>1.1608E-3</v>
      </c>
      <c r="I154" s="534">
        <v>1.1289E-3</v>
      </c>
      <c r="J154" s="534">
        <v>1.1460000000000001E-3</v>
      </c>
      <c r="K154" s="534">
        <v>1.1479999999999999E-3</v>
      </c>
      <c r="L154" s="534">
        <v>1.2967E-3</v>
      </c>
      <c r="M154" s="534">
        <v>3.2927E-3</v>
      </c>
      <c r="N154">
        <v>3.3354000000000001E-3</v>
      </c>
      <c r="O154">
        <v>6.7964999999999996E-3</v>
      </c>
      <c r="P154">
        <v>1.2304E-3</v>
      </c>
      <c r="Q154">
        <v>1.4495000000000001E-3</v>
      </c>
      <c r="R154">
        <v>1.619E-3</v>
      </c>
      <c r="S154">
        <v>1.6734E-3</v>
      </c>
      <c r="T154">
        <v>1.8096E-3</v>
      </c>
      <c r="U154">
        <v>1.7371000000000001E-3</v>
      </c>
      <c r="V154">
        <v>1.6685999999999999E-3</v>
      </c>
      <c r="W154">
        <v>1.5998E-3</v>
      </c>
      <c r="X154">
        <v>1.8013E-3</v>
      </c>
      <c r="Y154">
        <v>1.4714999999999999E-3</v>
      </c>
      <c r="Z154">
        <v>1.4999E-3</v>
      </c>
      <c r="AA154">
        <v>1.333E-3</v>
      </c>
      <c r="AB154">
        <v>1.3749999999999999E-3</v>
      </c>
      <c r="AC154">
        <v>1.3473000000000001E-3</v>
      </c>
      <c r="AD154">
        <v>1.3343000000000001E-3</v>
      </c>
    </row>
    <row r="155" spans="1:30">
      <c r="A155">
        <v>692</v>
      </c>
      <c r="B155" t="s">
        <v>144</v>
      </c>
      <c r="C155" s="534">
        <v>4.1090000000000001E-4</v>
      </c>
      <c r="D155" s="534">
        <v>4.5110000000000001E-4</v>
      </c>
      <c r="E155" s="534">
        <v>4.0509999999999998E-4</v>
      </c>
      <c r="F155" s="534">
        <v>3.9649999999999999E-4</v>
      </c>
      <c r="G155" s="534">
        <v>3.5060000000000001E-4</v>
      </c>
      <c r="H155" s="534">
        <v>5.1719999999999999E-4</v>
      </c>
      <c r="I155" s="534">
        <v>6.3360000000000001E-4</v>
      </c>
      <c r="J155" s="534">
        <v>6.2029999999999995E-4</v>
      </c>
      <c r="K155" s="534">
        <v>6.0599999999999998E-4</v>
      </c>
      <c r="L155" s="534">
        <v>6.1530000000000005E-4</v>
      </c>
      <c r="M155" s="534">
        <v>6.2980000000000002E-4</v>
      </c>
      <c r="N155">
        <v>6.5090000000000005E-4</v>
      </c>
      <c r="O155">
        <v>6.4769999999999997E-4</v>
      </c>
      <c r="P155">
        <v>3.9599999999999998E-4</v>
      </c>
      <c r="Q155">
        <v>3.9780000000000002E-4</v>
      </c>
      <c r="R155">
        <v>4.0079999999999998E-4</v>
      </c>
      <c r="S155">
        <v>4.105E-4</v>
      </c>
      <c r="T155">
        <v>4.2400000000000001E-4</v>
      </c>
      <c r="U155">
        <v>4.3859999999999998E-4</v>
      </c>
      <c r="V155">
        <v>4.481E-4</v>
      </c>
      <c r="W155">
        <v>4.35E-4</v>
      </c>
      <c r="X155">
        <v>3.838E-4</v>
      </c>
      <c r="Y155">
        <v>3.7879999999999999E-4</v>
      </c>
      <c r="Z155">
        <v>3.879E-4</v>
      </c>
      <c r="AA155">
        <v>3.79E-4</v>
      </c>
      <c r="AB155">
        <v>3.924E-4</v>
      </c>
      <c r="AC155">
        <v>3.8999999999999999E-4</v>
      </c>
      <c r="AD155">
        <v>3.8999999999999999E-4</v>
      </c>
    </row>
    <row r="156" spans="1:30">
      <c r="A156">
        <v>694</v>
      </c>
      <c r="B156" t="s">
        <v>145</v>
      </c>
      <c r="C156" s="534">
        <v>4.6789999999999999E-4</v>
      </c>
      <c r="D156" s="534">
        <v>5.4609999999999999E-4</v>
      </c>
      <c r="E156" s="534">
        <v>4.0420000000000001E-4</v>
      </c>
      <c r="F156" s="534">
        <v>3.6939999999999998E-4</v>
      </c>
      <c r="G156" s="534">
        <v>3.414E-4</v>
      </c>
      <c r="H156" s="534">
        <v>3.6910000000000003E-4</v>
      </c>
      <c r="I156" s="534">
        <v>4.035E-4</v>
      </c>
      <c r="J156" s="534">
        <v>3.6329999999999999E-4</v>
      </c>
      <c r="K156" s="534">
        <v>3.4600000000000001E-4</v>
      </c>
      <c r="L156" s="534">
        <v>4.1679999999999999E-4</v>
      </c>
      <c r="M156" s="534">
        <v>4.4480000000000002E-4</v>
      </c>
      <c r="N156">
        <v>6.0150000000000004E-4</v>
      </c>
      <c r="O156">
        <v>6.0269999999999996E-4</v>
      </c>
      <c r="P156">
        <v>7.0069999999999996E-4</v>
      </c>
      <c r="Q156">
        <v>5.8629999999999999E-4</v>
      </c>
      <c r="R156">
        <v>6.5839999999999996E-4</v>
      </c>
      <c r="S156">
        <v>6.8230000000000005E-4</v>
      </c>
      <c r="T156">
        <v>8.1470000000000002E-4</v>
      </c>
      <c r="U156">
        <v>8.1629999999999995E-4</v>
      </c>
      <c r="V156">
        <v>8.4250000000000004E-4</v>
      </c>
      <c r="W156">
        <v>7.9759999999999998E-4</v>
      </c>
      <c r="X156">
        <v>8.4219999999999998E-4</v>
      </c>
      <c r="Y156">
        <v>9.5909999999999995E-4</v>
      </c>
      <c r="Z156">
        <v>9.2619999999999996E-4</v>
      </c>
      <c r="AA156">
        <v>9.5359999999999998E-4</v>
      </c>
      <c r="AB156">
        <v>8.2410000000000003E-4</v>
      </c>
      <c r="AC156">
        <v>8.1039999999999997E-4</v>
      </c>
      <c r="AD156">
        <v>8.8409999999999997E-4</v>
      </c>
    </row>
    <row r="157" spans="1:30">
      <c r="A157">
        <v>696</v>
      </c>
      <c r="B157" t="s">
        <v>146</v>
      </c>
      <c r="C157" s="534">
        <v>1.3144000000000001E-3</v>
      </c>
      <c r="D157" s="534">
        <v>1.3290999999999999E-3</v>
      </c>
      <c r="E157" s="534">
        <v>1.5211999999999999E-3</v>
      </c>
      <c r="F157" s="534">
        <v>1.4040999999999999E-3</v>
      </c>
      <c r="G157" s="534">
        <v>1.3683E-3</v>
      </c>
      <c r="H157" s="534">
        <v>1.3675E-3</v>
      </c>
      <c r="I157" s="534">
        <v>1.2872999999999999E-3</v>
      </c>
      <c r="J157" s="534">
        <v>1.2340000000000001E-3</v>
      </c>
      <c r="K157" s="534">
        <v>1.1899E-3</v>
      </c>
      <c r="L157" s="534">
        <v>1.2436999999999999E-3</v>
      </c>
      <c r="M157" s="534">
        <v>1.6084999999999999E-3</v>
      </c>
      <c r="N157">
        <v>2.1576999999999998E-3</v>
      </c>
      <c r="O157">
        <v>1.5786999999999999E-3</v>
      </c>
      <c r="P157">
        <v>1.5796E-3</v>
      </c>
      <c r="Q157">
        <v>1.6997E-3</v>
      </c>
      <c r="R157">
        <v>1.7095000000000001E-3</v>
      </c>
      <c r="S157">
        <v>1.8154E-3</v>
      </c>
      <c r="T157">
        <v>1.8762E-3</v>
      </c>
      <c r="U157">
        <v>2.2273000000000002E-3</v>
      </c>
      <c r="V157">
        <v>2.2038000000000001E-3</v>
      </c>
      <c r="W157">
        <v>2.3034000000000002E-3</v>
      </c>
      <c r="X157">
        <v>2.4087000000000002E-3</v>
      </c>
      <c r="Y157">
        <v>1.9115E-3</v>
      </c>
      <c r="Z157">
        <v>1.9261E-3</v>
      </c>
      <c r="AA157">
        <v>2.8871000000000001E-3</v>
      </c>
      <c r="AB157">
        <v>2.8866999999999999E-3</v>
      </c>
      <c r="AC157">
        <v>2.9776999999999998E-3</v>
      </c>
      <c r="AD157">
        <v>2.9797999999999999E-3</v>
      </c>
    </row>
    <row r="158" spans="1:30">
      <c r="A158">
        <v>698</v>
      </c>
      <c r="B158" t="s">
        <v>147</v>
      </c>
      <c r="C158" s="534">
        <v>4.9529999999999995E-4</v>
      </c>
      <c r="D158" s="534">
        <v>6.0260000000000001E-4</v>
      </c>
      <c r="E158" s="534">
        <v>5.62E-4</v>
      </c>
      <c r="F158" s="534">
        <v>6.801E-4</v>
      </c>
      <c r="G158" s="534">
        <v>7.1980000000000004E-4</v>
      </c>
      <c r="H158" s="534">
        <v>7.3379999999999995E-4</v>
      </c>
      <c r="I158" s="534">
        <v>6.1070000000000004E-4</v>
      </c>
      <c r="J158" s="534">
        <v>5.7680000000000003E-4</v>
      </c>
      <c r="K158" s="534">
        <v>5.5009999999999998E-4</v>
      </c>
      <c r="L158" s="534">
        <v>6.1519999999999999E-4</v>
      </c>
      <c r="M158" s="534">
        <v>6.3389999999999996E-4</v>
      </c>
      <c r="N158">
        <v>6.4210000000000005E-4</v>
      </c>
      <c r="O158">
        <v>7.9679999999999996E-4</v>
      </c>
      <c r="P158">
        <v>8.2299999999999995E-4</v>
      </c>
      <c r="Q158">
        <v>8.5890000000000001E-4</v>
      </c>
      <c r="R158">
        <v>8.5150000000000004E-4</v>
      </c>
      <c r="S158">
        <v>8.5010000000000001E-4</v>
      </c>
      <c r="T158">
        <v>8.966E-4</v>
      </c>
      <c r="U158">
        <v>9.075E-4</v>
      </c>
      <c r="V158">
        <v>8.518E-4</v>
      </c>
      <c r="W158">
        <v>9.8710000000000009E-4</v>
      </c>
      <c r="X158">
        <v>1.1284999999999999E-3</v>
      </c>
      <c r="Y158">
        <v>1.0614999999999999E-3</v>
      </c>
      <c r="Z158">
        <v>1.0215999999999999E-3</v>
      </c>
      <c r="AA158">
        <v>1.0116999999999999E-3</v>
      </c>
      <c r="AB158">
        <v>1.142E-3</v>
      </c>
      <c r="AC158">
        <v>1.2788000000000001E-3</v>
      </c>
      <c r="AD158">
        <v>1.2172999999999999E-3</v>
      </c>
    </row>
    <row r="159" spans="1:30">
      <c r="A159">
        <v>700</v>
      </c>
      <c r="B159" t="s">
        <v>148</v>
      </c>
      <c r="C159" s="534">
        <v>1.2174E-3</v>
      </c>
      <c r="D159" s="534">
        <v>1.2289E-3</v>
      </c>
      <c r="E159" s="534">
        <v>1.2712000000000001E-3</v>
      </c>
      <c r="F159" s="534">
        <v>1.1872E-3</v>
      </c>
      <c r="G159" s="534">
        <v>1.1345999999999999E-3</v>
      </c>
      <c r="H159" s="534">
        <v>1.1464999999999999E-3</v>
      </c>
      <c r="I159" s="534">
        <v>1.2639000000000001E-3</v>
      </c>
      <c r="J159" s="534">
        <v>1.2677999999999999E-3</v>
      </c>
      <c r="K159" s="534">
        <v>1.2921E-3</v>
      </c>
      <c r="L159" s="534">
        <v>1.2918999999999999E-3</v>
      </c>
      <c r="M159" s="534">
        <v>1.1803E-3</v>
      </c>
      <c r="N159">
        <v>1.3090000000000001E-3</v>
      </c>
      <c r="O159">
        <v>1.3703000000000001E-3</v>
      </c>
      <c r="P159">
        <v>1.4176E-3</v>
      </c>
      <c r="Q159">
        <v>1.4683999999999999E-3</v>
      </c>
      <c r="R159">
        <v>1.1608E-3</v>
      </c>
      <c r="S159">
        <v>1.1876E-3</v>
      </c>
      <c r="T159">
        <v>1.2182E-3</v>
      </c>
      <c r="U159">
        <v>1.1964E-3</v>
      </c>
      <c r="V159">
        <v>4.0851999999999998E-3</v>
      </c>
      <c r="W159">
        <v>4.0962999999999998E-3</v>
      </c>
      <c r="X159">
        <v>1.2122999999999999E-3</v>
      </c>
      <c r="Y159">
        <v>1.3898000000000001E-3</v>
      </c>
      <c r="Z159">
        <v>1.4407999999999999E-3</v>
      </c>
      <c r="AA159">
        <v>1.3512000000000001E-3</v>
      </c>
      <c r="AB159">
        <v>1.2186E-3</v>
      </c>
      <c r="AC159">
        <v>1.2149999999999999E-3</v>
      </c>
      <c r="AD159">
        <v>1.4201000000000001E-3</v>
      </c>
    </row>
    <row r="160" spans="1:30">
      <c r="A160">
        <v>701</v>
      </c>
      <c r="B160" t="s">
        <v>149</v>
      </c>
      <c r="N160">
        <v>3.1520000000000002E-4</v>
      </c>
      <c r="O160">
        <v>6.4979999999999997E-4</v>
      </c>
      <c r="P160">
        <v>5.8509999999999996E-4</v>
      </c>
      <c r="Q160">
        <v>5.2400000000000005E-4</v>
      </c>
      <c r="R160">
        <v>5.8640000000000005E-4</v>
      </c>
      <c r="S160">
        <v>5.6179999999999999E-4</v>
      </c>
      <c r="T160">
        <v>5.5489999999999999E-4</v>
      </c>
      <c r="U160">
        <v>5.1130000000000001E-4</v>
      </c>
      <c r="V160">
        <v>5.4580000000000004E-4</v>
      </c>
      <c r="W160">
        <v>5.6119999999999998E-4</v>
      </c>
      <c r="X160">
        <v>6.1079999999999999E-4</v>
      </c>
      <c r="Y160">
        <v>6.3060000000000004E-4</v>
      </c>
      <c r="Z160">
        <v>7.115E-4</v>
      </c>
      <c r="AA160">
        <v>6.4230000000000005E-4</v>
      </c>
      <c r="AB160">
        <v>6.4349999999999997E-4</v>
      </c>
      <c r="AC160">
        <v>6.5220000000000002E-4</v>
      </c>
      <c r="AD160">
        <v>6.5910000000000003E-4</v>
      </c>
    </row>
    <row r="161" spans="1:30">
      <c r="A161">
        <v>702</v>
      </c>
      <c r="B161" t="s">
        <v>150</v>
      </c>
      <c r="N161">
        <v>4.551E-4</v>
      </c>
      <c r="O161">
        <v>4.0299999999999998E-4</v>
      </c>
      <c r="P161">
        <v>3.8099999999999999E-4</v>
      </c>
      <c r="Q161">
        <v>3.4709999999999998E-4</v>
      </c>
      <c r="R161">
        <v>3.8519999999999998E-4</v>
      </c>
      <c r="S161">
        <v>3.9950000000000001E-4</v>
      </c>
      <c r="T161">
        <v>3.9439999999999999E-4</v>
      </c>
      <c r="U161">
        <v>3.6309999999999999E-4</v>
      </c>
      <c r="V161">
        <v>3.5970000000000002E-4</v>
      </c>
      <c r="W161">
        <v>3.5399999999999999E-4</v>
      </c>
      <c r="X161">
        <v>3.5589999999999998E-4</v>
      </c>
      <c r="Y161">
        <v>3.5379999999999998E-4</v>
      </c>
      <c r="Z161">
        <v>3.4519999999999999E-4</v>
      </c>
      <c r="AA161">
        <v>3.3129999999999998E-4</v>
      </c>
      <c r="AB161">
        <v>3.4220000000000002E-4</v>
      </c>
      <c r="AC161">
        <v>3.4939999999999998E-4</v>
      </c>
      <c r="AD161">
        <v>3.5169999999999998E-4</v>
      </c>
    </row>
    <row r="162" spans="1:30">
      <c r="A162">
        <v>703</v>
      </c>
      <c r="B162" t="s">
        <v>151</v>
      </c>
      <c r="N162">
        <v>3.86E-4</v>
      </c>
      <c r="O162">
        <v>3.9429999999999999E-4</v>
      </c>
      <c r="P162">
        <v>3.8709999999999998E-4</v>
      </c>
      <c r="Q162">
        <v>3.7800000000000003E-4</v>
      </c>
      <c r="R162">
        <v>3.6479999999999998E-4</v>
      </c>
      <c r="S162">
        <v>3.6610000000000001E-4</v>
      </c>
      <c r="T162">
        <v>3.723E-4</v>
      </c>
      <c r="U162">
        <v>3.4729999999999999E-4</v>
      </c>
      <c r="V162">
        <v>3.433E-4</v>
      </c>
      <c r="W162">
        <v>3.6890000000000002E-4</v>
      </c>
      <c r="X162">
        <v>3.7879999999999999E-4</v>
      </c>
      <c r="Y162">
        <v>3.8170000000000001E-4</v>
      </c>
      <c r="Z162">
        <v>3.7490000000000001E-4</v>
      </c>
      <c r="AA162">
        <v>3.4709999999999998E-4</v>
      </c>
      <c r="AB162">
        <v>3.5409999999999999E-4</v>
      </c>
      <c r="AC162">
        <v>3.57E-4</v>
      </c>
      <c r="AD162">
        <v>3.57E-4</v>
      </c>
    </row>
    <row r="163" spans="1:30">
      <c r="A163">
        <v>704</v>
      </c>
      <c r="B163" t="s">
        <v>152</v>
      </c>
      <c r="N163">
        <v>2.2937000000000001E-3</v>
      </c>
      <c r="O163">
        <v>2.8861E-3</v>
      </c>
      <c r="P163">
        <v>2.9899000000000002E-3</v>
      </c>
      <c r="Q163">
        <v>2.3111999999999998E-3</v>
      </c>
      <c r="R163">
        <v>2.1589999999999999E-3</v>
      </c>
      <c r="S163">
        <v>2.2185E-3</v>
      </c>
      <c r="T163">
        <v>2.4656000000000001E-3</v>
      </c>
      <c r="U163">
        <v>2.3108E-3</v>
      </c>
      <c r="V163">
        <v>2.3888999999999998E-3</v>
      </c>
      <c r="W163">
        <v>2.6694000000000002E-3</v>
      </c>
      <c r="X163">
        <v>2.6348999999999999E-3</v>
      </c>
      <c r="Y163">
        <v>2.6825E-3</v>
      </c>
      <c r="Z163">
        <v>2.5661999999999998E-3</v>
      </c>
      <c r="AA163">
        <v>2.2158999999999998E-3</v>
      </c>
      <c r="AB163">
        <v>2.1743000000000001E-3</v>
      </c>
      <c r="AC163">
        <v>2.1619E-3</v>
      </c>
      <c r="AD163">
        <v>2.1573999999999999E-3</v>
      </c>
    </row>
    <row r="164" spans="1:30">
      <c r="A164">
        <v>705</v>
      </c>
      <c r="B164" t="s">
        <v>153</v>
      </c>
      <c r="N164">
        <v>3.8834E-3</v>
      </c>
      <c r="O164">
        <v>5.0898999999999996E-3</v>
      </c>
      <c r="P164">
        <v>3.9665000000000004E-3</v>
      </c>
      <c r="Q164">
        <v>3.3224000000000001E-3</v>
      </c>
      <c r="R164">
        <v>3.1239000000000002E-3</v>
      </c>
      <c r="S164">
        <v>3.0019000000000001E-3</v>
      </c>
      <c r="T164">
        <v>2.9661000000000002E-3</v>
      </c>
      <c r="U164">
        <v>2.5352E-3</v>
      </c>
      <c r="V164">
        <v>2.7485000000000001E-3</v>
      </c>
      <c r="W164">
        <v>3.2195000000000001E-3</v>
      </c>
      <c r="X164">
        <v>3.2580999999999999E-3</v>
      </c>
      <c r="Y164">
        <v>3.3249999999999998E-3</v>
      </c>
      <c r="Z164">
        <v>3.2697E-3</v>
      </c>
      <c r="AA164">
        <v>3.3671999999999999E-3</v>
      </c>
      <c r="AB164">
        <v>3.3168E-3</v>
      </c>
      <c r="AC164">
        <v>3.1169000000000001E-3</v>
      </c>
      <c r="AD164">
        <v>3.2326E-3</v>
      </c>
    </row>
    <row r="165" spans="1:30">
      <c r="A165">
        <v>710</v>
      </c>
      <c r="B165" t="s">
        <v>154</v>
      </c>
      <c r="C165" s="534">
        <v>0.11818770000000001</v>
      </c>
      <c r="D165" s="534">
        <v>0.11851879999999999</v>
      </c>
      <c r="E165" s="534">
        <v>0.1173135</v>
      </c>
      <c r="F165" s="534">
        <v>0.1174321</v>
      </c>
      <c r="G165" s="534">
        <v>0.11142489999999999</v>
      </c>
      <c r="H165" s="534">
        <v>0.108719</v>
      </c>
      <c r="I165" s="534">
        <v>0.1088638</v>
      </c>
      <c r="J165" s="534">
        <v>0.1064507</v>
      </c>
      <c r="K165" s="534">
        <v>0.1075262</v>
      </c>
      <c r="L165" s="534">
        <v>0.10912719999999999</v>
      </c>
      <c r="M165" s="534">
        <v>0.10592849999999999</v>
      </c>
      <c r="N165">
        <v>0.11239590000000001</v>
      </c>
      <c r="O165">
        <v>0.117286</v>
      </c>
      <c r="P165">
        <v>0.12498380000000001</v>
      </c>
      <c r="Q165">
        <v>0.13014909999999999</v>
      </c>
      <c r="R165">
        <v>0.13558990000000001</v>
      </c>
      <c r="S165">
        <v>0.13911480000000001</v>
      </c>
      <c r="T165">
        <v>0.14201330000000001</v>
      </c>
      <c r="U165">
        <v>0.1471962</v>
      </c>
      <c r="V165">
        <v>0.15067230000000001</v>
      </c>
      <c r="W165">
        <v>0.1557135</v>
      </c>
      <c r="X165">
        <v>0.1585387</v>
      </c>
      <c r="Y165">
        <v>0.16735920000000001</v>
      </c>
      <c r="Z165">
        <v>0.16924729999999999</v>
      </c>
      <c r="AA165">
        <v>0.18257029999999999</v>
      </c>
      <c r="AB165">
        <v>0.18392210000000001</v>
      </c>
      <c r="AC165">
        <v>0.19026419999999999</v>
      </c>
      <c r="AD165">
        <v>0.1985779</v>
      </c>
    </row>
    <row r="166" spans="1:30">
      <c r="A166">
        <v>712</v>
      </c>
      <c r="B166" t="s">
        <v>155</v>
      </c>
      <c r="C166" s="534">
        <v>4.4700000000000002E-4</v>
      </c>
      <c r="D166" s="534">
        <v>4.3839999999999998E-4</v>
      </c>
      <c r="E166" s="534">
        <v>4.5029999999999999E-4</v>
      </c>
      <c r="F166" s="534">
        <v>4.5810000000000002E-4</v>
      </c>
      <c r="G166" s="534">
        <v>4.462E-4</v>
      </c>
      <c r="H166" s="534">
        <v>4.5439999999999999E-4</v>
      </c>
      <c r="I166" s="534">
        <v>4.5839999999999998E-4</v>
      </c>
      <c r="J166" s="534">
        <v>4.1110000000000002E-4</v>
      </c>
      <c r="K166" s="534">
        <v>4.1340000000000002E-4</v>
      </c>
      <c r="L166" s="534">
        <v>4.2670000000000002E-4</v>
      </c>
      <c r="M166" s="534">
        <v>4.1209999999999999E-4</v>
      </c>
      <c r="N166">
        <v>4.4180000000000001E-4</v>
      </c>
      <c r="O166">
        <v>3.8329999999999999E-4</v>
      </c>
      <c r="P166">
        <v>3.0889999999999997E-4</v>
      </c>
      <c r="Q166">
        <v>3.032E-4</v>
      </c>
      <c r="R166">
        <v>2.989E-4</v>
      </c>
      <c r="S166">
        <v>3.124E-4</v>
      </c>
      <c r="T166">
        <v>3.0889999999999997E-4</v>
      </c>
      <c r="U166">
        <v>3.1839999999999999E-4</v>
      </c>
      <c r="V166">
        <v>3.1720000000000001E-4</v>
      </c>
      <c r="W166">
        <v>2.3939999999999999E-4</v>
      </c>
      <c r="X166">
        <v>2.385E-4</v>
      </c>
      <c r="Y166">
        <v>2.419E-4</v>
      </c>
      <c r="Z166">
        <v>2.3470000000000001E-4</v>
      </c>
      <c r="AA166">
        <v>2.3279999999999999E-4</v>
      </c>
      <c r="AB166">
        <v>2.3589999999999999E-4</v>
      </c>
      <c r="AC166">
        <v>2.454E-4</v>
      </c>
      <c r="AD166">
        <v>2.4919999999999999E-4</v>
      </c>
    </row>
    <row r="167" spans="1:30">
      <c r="A167">
        <v>713</v>
      </c>
      <c r="B167" t="s">
        <v>156</v>
      </c>
      <c r="C167" s="534">
        <v>7.6861000000000004E-3</v>
      </c>
      <c r="D167" s="534">
        <v>6.4736999999999998E-3</v>
      </c>
      <c r="E167" s="534">
        <v>6.9232E-3</v>
      </c>
      <c r="F167" s="534">
        <v>7.2221000000000004E-3</v>
      </c>
      <c r="G167" s="534">
        <v>7.0647000000000001E-3</v>
      </c>
      <c r="H167" s="534">
        <v>6.979E-3</v>
      </c>
      <c r="I167" s="534">
        <v>6.9252000000000003E-3</v>
      </c>
      <c r="J167" s="534">
        <v>7.1758999999999998E-3</v>
      </c>
      <c r="K167" s="534">
        <v>7.7184000000000003E-3</v>
      </c>
      <c r="L167" s="534">
        <v>8.5318000000000008E-3</v>
      </c>
      <c r="M167" s="534">
        <v>8.2760000000000004E-3</v>
      </c>
      <c r="N167">
        <v>8.9336999999999993E-3</v>
      </c>
      <c r="O167">
        <v>9.6060999999999994E-3</v>
      </c>
      <c r="P167">
        <v>1.0618499999999999E-2</v>
      </c>
      <c r="Q167">
        <v>1.01998E-2</v>
      </c>
      <c r="R167">
        <v>1.0393899999999999E-2</v>
      </c>
      <c r="S167">
        <v>1.0506E-2</v>
      </c>
      <c r="T167">
        <v>1.1132E-2</v>
      </c>
      <c r="U167">
        <v>1.1438800000000001E-2</v>
      </c>
      <c r="V167">
        <v>1.11019E-2</v>
      </c>
      <c r="W167">
        <v>1.1613999999999999E-2</v>
      </c>
      <c r="X167">
        <v>1.0338999999999999E-2</v>
      </c>
      <c r="Y167">
        <v>9.6631000000000009E-3</v>
      </c>
      <c r="Z167">
        <v>8.5854999999999994E-3</v>
      </c>
      <c r="AA167">
        <v>8.3876999999999997E-3</v>
      </c>
      <c r="AB167">
        <v>8.1934E-3</v>
      </c>
      <c r="AC167">
        <v>7.9506999999999998E-3</v>
      </c>
      <c r="AD167">
        <v>8.0096000000000004E-3</v>
      </c>
    </row>
    <row r="168" spans="1:30">
      <c r="A168">
        <v>731</v>
      </c>
      <c r="B168" t="s">
        <v>157</v>
      </c>
      <c r="C168" s="534">
        <v>7.9515999999999996E-3</v>
      </c>
      <c r="D168" s="534">
        <v>8.2847000000000007E-3</v>
      </c>
      <c r="E168" s="534">
        <v>8.6035999999999994E-3</v>
      </c>
      <c r="F168" s="534">
        <v>8.7309999999999992E-3</v>
      </c>
      <c r="G168" s="534">
        <v>9.0959999999999999E-3</v>
      </c>
      <c r="H168" s="534">
        <v>8.9554000000000005E-3</v>
      </c>
      <c r="I168" s="534">
        <v>9.3054999999999995E-3</v>
      </c>
      <c r="J168" s="534">
        <v>9.5648999999999994E-3</v>
      </c>
      <c r="K168" s="534">
        <v>9.5548999999999999E-3</v>
      </c>
      <c r="L168" s="534">
        <v>1.0943400000000001E-2</v>
      </c>
      <c r="M168" s="534">
        <v>1.21306E-2</v>
      </c>
      <c r="N168">
        <v>1.3076900000000001E-2</v>
      </c>
      <c r="O168">
        <v>1.3580800000000001E-2</v>
      </c>
      <c r="P168">
        <v>1.3106400000000001E-2</v>
      </c>
      <c r="Q168">
        <v>1.17042E-2</v>
      </c>
      <c r="R168">
        <v>1.1406400000000001E-2</v>
      </c>
      <c r="S168">
        <v>1.1594500000000001E-2</v>
      </c>
      <c r="T168">
        <v>1.09432E-2</v>
      </c>
      <c r="U168">
        <v>9.8528000000000001E-3</v>
      </c>
      <c r="V168">
        <v>9.8148000000000003E-3</v>
      </c>
      <c r="W168">
        <v>1.0190899999999999E-2</v>
      </c>
      <c r="X168">
        <v>1.0861600000000001E-2</v>
      </c>
      <c r="Y168">
        <v>1.1339999999999999E-2</v>
      </c>
      <c r="Z168">
        <v>1.1262899999999999E-2</v>
      </c>
      <c r="AA168">
        <v>1.2749999999999999E-2</v>
      </c>
      <c r="AB168">
        <v>1.2987500000000001E-2</v>
      </c>
      <c r="AC168">
        <v>1.28682E-2</v>
      </c>
      <c r="AD168">
        <v>1.29246E-2</v>
      </c>
    </row>
    <row r="169" spans="1:30">
      <c r="A169">
        <v>732</v>
      </c>
      <c r="B169" t="s">
        <v>158</v>
      </c>
      <c r="C169" s="534">
        <v>1.38224E-2</v>
      </c>
      <c r="D169" s="534">
        <v>1.4657399999999999E-2</v>
      </c>
      <c r="E169" s="534">
        <v>1.51766E-2</v>
      </c>
      <c r="F169" s="534">
        <v>1.5124800000000001E-2</v>
      </c>
      <c r="G169" s="534">
        <v>1.5814999999999999E-2</v>
      </c>
      <c r="H169" s="534">
        <v>1.5963399999999999E-2</v>
      </c>
      <c r="I169" s="534">
        <v>1.6148699999999998E-2</v>
      </c>
      <c r="J169" s="534">
        <v>1.6484700000000001E-2</v>
      </c>
      <c r="K169" s="534">
        <v>1.7192700000000002E-2</v>
      </c>
      <c r="L169" s="534">
        <v>1.8631000000000002E-2</v>
      </c>
      <c r="M169" s="534">
        <v>1.8715699999999998E-2</v>
      </c>
      <c r="N169">
        <v>2.1828699999999999E-2</v>
      </c>
      <c r="O169">
        <v>2.3254799999999999E-2</v>
      </c>
      <c r="P169">
        <v>2.4486999999999998E-2</v>
      </c>
      <c r="Q169">
        <v>2.4653499999999998E-2</v>
      </c>
      <c r="R169">
        <v>2.5673100000000001E-2</v>
      </c>
      <c r="S169">
        <v>2.6117000000000001E-2</v>
      </c>
      <c r="T169">
        <v>2.67207E-2</v>
      </c>
      <c r="U169">
        <v>2.5107000000000001E-2</v>
      </c>
      <c r="V169">
        <v>2.54857E-2</v>
      </c>
      <c r="W169">
        <v>2.54056E-2</v>
      </c>
      <c r="X169">
        <v>2.5293599999999999E-2</v>
      </c>
      <c r="Y169">
        <v>2.4986700000000001E-2</v>
      </c>
      <c r="Z169">
        <v>2.4129600000000001E-2</v>
      </c>
      <c r="AA169">
        <v>2.40211E-2</v>
      </c>
      <c r="AB169">
        <v>2.4265100000000001E-2</v>
      </c>
      <c r="AC169">
        <v>2.3940099999999999E-2</v>
      </c>
      <c r="AD169">
        <v>2.3877800000000001E-2</v>
      </c>
    </row>
    <row r="170" spans="1:30">
      <c r="A170">
        <v>740</v>
      </c>
      <c r="B170" t="s">
        <v>159</v>
      </c>
      <c r="C170" s="534">
        <v>5.30616E-2</v>
      </c>
      <c r="D170" s="534">
        <v>5.0948800000000002E-2</v>
      </c>
      <c r="E170" s="534">
        <v>5.17904E-2</v>
      </c>
      <c r="F170" s="534">
        <v>5.0120999999999999E-2</v>
      </c>
      <c r="G170" s="534">
        <v>5.65494E-2</v>
      </c>
      <c r="H170" s="534">
        <v>5.5808099999999999E-2</v>
      </c>
      <c r="I170" s="534">
        <v>5.4675300000000003E-2</v>
      </c>
      <c r="J170" s="534">
        <v>5.3849099999999997E-2</v>
      </c>
      <c r="K170" s="534">
        <v>5.43984E-2</v>
      </c>
      <c r="L170" s="534">
        <v>5.6344900000000003E-2</v>
      </c>
      <c r="M170" s="534">
        <v>5.5704700000000003E-2</v>
      </c>
      <c r="N170">
        <v>5.9806999999999999E-2</v>
      </c>
      <c r="O170">
        <v>5.8303399999999998E-2</v>
      </c>
      <c r="P170">
        <v>5.9496399999999998E-2</v>
      </c>
      <c r="Q170">
        <v>5.9397999999999999E-2</v>
      </c>
      <c r="R170">
        <v>5.9327699999999997E-2</v>
      </c>
      <c r="S170">
        <v>5.71329E-2</v>
      </c>
      <c r="T170">
        <v>5.6092999999999997E-2</v>
      </c>
      <c r="U170">
        <v>5.3333199999999997E-2</v>
      </c>
      <c r="V170">
        <v>5.2918E-2</v>
      </c>
      <c r="W170">
        <v>5.4505999999999999E-2</v>
      </c>
      <c r="X170">
        <v>5.15532E-2</v>
      </c>
      <c r="Y170">
        <v>5.1217899999999997E-2</v>
      </c>
      <c r="Z170">
        <v>4.9087600000000002E-2</v>
      </c>
      <c r="AA170">
        <v>4.7328700000000001E-2</v>
      </c>
      <c r="AB170">
        <v>4.6246599999999999E-2</v>
      </c>
      <c r="AC170">
        <v>4.4128500000000001E-2</v>
      </c>
      <c r="AD170">
        <v>4.2674499999999997E-2</v>
      </c>
    </row>
    <row r="171" spans="1:30">
      <c r="A171">
        <v>750</v>
      </c>
      <c r="B171" t="s">
        <v>160</v>
      </c>
      <c r="C171" s="534">
        <v>5.1520700000000003E-2</v>
      </c>
      <c r="D171" s="534">
        <v>5.18331E-2</v>
      </c>
      <c r="E171" s="534">
        <v>5.4033699999999997E-2</v>
      </c>
      <c r="F171" s="534">
        <v>5.4201199999999998E-2</v>
      </c>
      <c r="G171" s="534">
        <v>5.3839900000000003E-2</v>
      </c>
      <c r="H171" s="534">
        <v>5.5337699999999997E-2</v>
      </c>
      <c r="I171" s="534">
        <v>5.5904000000000002E-2</v>
      </c>
      <c r="J171" s="534">
        <v>5.6687800000000003E-2</v>
      </c>
      <c r="K171" s="534">
        <v>5.7715299999999997E-2</v>
      </c>
      <c r="L171" s="534">
        <v>5.8798499999999997E-2</v>
      </c>
      <c r="M171" s="534">
        <v>5.8914099999999997E-2</v>
      </c>
      <c r="N171">
        <v>6.13275E-2</v>
      </c>
      <c r="O171">
        <v>6.2211299999999997E-2</v>
      </c>
      <c r="P171">
        <v>6.2206900000000002E-2</v>
      </c>
      <c r="Q171">
        <v>6.2530600000000006E-2</v>
      </c>
      <c r="R171">
        <v>6.3571699999999995E-2</v>
      </c>
      <c r="S171">
        <v>6.4766299999999999E-2</v>
      </c>
      <c r="T171">
        <v>6.4765799999999998E-2</v>
      </c>
      <c r="U171">
        <v>6.6184999999999994E-2</v>
      </c>
      <c r="V171">
        <v>6.6736599999999993E-2</v>
      </c>
      <c r="W171">
        <v>6.6922800000000005E-2</v>
      </c>
      <c r="X171">
        <v>6.9122199999999995E-2</v>
      </c>
      <c r="Y171">
        <v>6.9308700000000001E-2</v>
      </c>
      <c r="Z171">
        <v>6.8511699999999995E-2</v>
      </c>
      <c r="AA171">
        <v>6.9960300000000003E-2</v>
      </c>
      <c r="AB171">
        <v>7.1221199999999998E-2</v>
      </c>
      <c r="AC171">
        <v>7.2492899999999999E-2</v>
      </c>
      <c r="AD171">
        <v>7.3443700000000001E-2</v>
      </c>
    </row>
    <row r="172" spans="1:30">
      <c r="A172">
        <v>760</v>
      </c>
      <c r="B172" t="s">
        <v>161</v>
      </c>
      <c r="C172" s="534">
        <v>8.6700000000000007E-5</v>
      </c>
      <c r="D172" s="534">
        <v>9.2100000000000003E-5</v>
      </c>
      <c r="E172" s="534">
        <v>9.2600000000000001E-5</v>
      </c>
      <c r="F172" s="534">
        <v>9.2999999999999997E-5</v>
      </c>
      <c r="G172" s="534">
        <v>9.1299999999999997E-5</v>
      </c>
      <c r="H172" s="534">
        <v>9.2100000000000003E-5</v>
      </c>
      <c r="I172" s="534">
        <v>9.2700000000000004E-5</v>
      </c>
      <c r="J172" s="534">
        <v>9.4900000000000003E-5</v>
      </c>
      <c r="K172" s="534">
        <v>1.025E-4</v>
      </c>
      <c r="L172" s="534">
        <v>9.6000000000000002E-5</v>
      </c>
      <c r="M172" s="534">
        <v>1.119E-4</v>
      </c>
      <c r="N172">
        <v>1.161E-4</v>
      </c>
      <c r="O172">
        <v>1.1739999999999999E-4</v>
      </c>
      <c r="P172">
        <v>1.183E-4</v>
      </c>
      <c r="Q172">
        <v>1.193E-4</v>
      </c>
      <c r="R172">
        <v>1.198E-4</v>
      </c>
      <c r="S172">
        <v>1.484E-4</v>
      </c>
      <c r="T172">
        <v>1.4999999999999999E-4</v>
      </c>
      <c r="U172">
        <v>1.3430000000000001E-4</v>
      </c>
      <c r="V172">
        <v>1.351E-4</v>
      </c>
      <c r="W172">
        <v>1.204E-4</v>
      </c>
      <c r="X172">
        <v>3.79E-5</v>
      </c>
      <c r="Y172">
        <v>3.8500000000000001E-5</v>
      </c>
      <c r="Z172">
        <v>3.8099999999999998E-5</v>
      </c>
      <c r="AA172">
        <v>4.1399999999999997E-5</v>
      </c>
      <c r="AB172">
        <v>4.1900000000000002E-5</v>
      </c>
      <c r="AC172">
        <v>4.3699999999999998E-5</v>
      </c>
      <c r="AD172">
        <v>4.6300000000000001E-5</v>
      </c>
    </row>
    <row r="173" spans="1:30">
      <c r="A173">
        <v>770</v>
      </c>
      <c r="B173" t="s">
        <v>162</v>
      </c>
      <c r="C173" s="534">
        <v>9.4339000000000003E-3</v>
      </c>
      <c r="D173" s="534">
        <v>9.8986999999999999E-3</v>
      </c>
      <c r="E173" s="534">
        <v>1.0261599999999999E-2</v>
      </c>
      <c r="F173" s="534">
        <v>9.6033000000000004E-3</v>
      </c>
      <c r="G173" s="534">
        <v>9.5777999999999992E-3</v>
      </c>
      <c r="H173" s="534">
        <v>9.7859000000000002E-3</v>
      </c>
      <c r="I173" s="534">
        <v>9.8002999999999996E-3</v>
      </c>
      <c r="J173" s="534">
        <v>9.8805000000000004E-3</v>
      </c>
      <c r="K173" s="534">
        <v>9.8717000000000006E-3</v>
      </c>
      <c r="L173" s="534">
        <v>1.03152E-2</v>
      </c>
      <c r="M173" s="534">
        <v>1.0524800000000001E-2</v>
      </c>
      <c r="N173">
        <v>1.1272799999999999E-2</v>
      </c>
      <c r="O173">
        <v>1.1798400000000001E-2</v>
      </c>
      <c r="P173">
        <v>1.1979200000000001E-2</v>
      </c>
      <c r="Q173">
        <v>1.21513E-2</v>
      </c>
      <c r="R173">
        <v>1.22477E-2</v>
      </c>
      <c r="S173">
        <v>1.2432500000000001E-2</v>
      </c>
      <c r="T173">
        <v>1.2846E-2</v>
      </c>
      <c r="U173">
        <v>1.31929E-2</v>
      </c>
      <c r="V173">
        <v>1.3103500000000001E-2</v>
      </c>
      <c r="W173">
        <v>1.3062300000000001E-2</v>
      </c>
      <c r="X173">
        <v>1.3143800000000001E-2</v>
      </c>
      <c r="Y173">
        <v>1.3191899999999999E-2</v>
      </c>
      <c r="Z173">
        <v>1.30641E-2</v>
      </c>
      <c r="AA173">
        <v>1.34912E-2</v>
      </c>
      <c r="AB173">
        <v>1.3611099999999999E-2</v>
      </c>
      <c r="AC173">
        <v>1.36025E-2</v>
      </c>
      <c r="AD173">
        <v>1.3771800000000001E-2</v>
      </c>
    </row>
    <row r="174" spans="1:30">
      <c r="A174">
        <v>771</v>
      </c>
      <c r="B174" t="s">
        <v>163</v>
      </c>
      <c r="C174" s="534">
        <v>5.2068000000000001E-3</v>
      </c>
      <c r="D174" s="534">
        <v>5.3133E-3</v>
      </c>
      <c r="E174" s="534">
        <v>5.4479000000000003E-3</v>
      </c>
      <c r="F174" s="534">
        <v>5.5182E-3</v>
      </c>
      <c r="G174" s="534">
        <v>5.6188000000000002E-3</v>
      </c>
      <c r="H174" s="534">
        <v>5.7838999999999998E-3</v>
      </c>
      <c r="I174" s="534">
        <v>5.7908999999999999E-3</v>
      </c>
      <c r="J174" s="534">
        <v>5.8072000000000002E-3</v>
      </c>
      <c r="K174" s="534">
        <v>5.7942000000000002E-3</v>
      </c>
      <c r="L174" s="534">
        <v>5.8298999999999998E-3</v>
      </c>
      <c r="M174" s="534">
        <v>5.9173000000000003E-3</v>
      </c>
      <c r="N174">
        <v>6.0832999999999998E-3</v>
      </c>
      <c r="O174">
        <v>6.1463999999999998E-3</v>
      </c>
      <c r="P174">
        <v>6.1379E-3</v>
      </c>
      <c r="Q174">
        <v>6.2027000000000002E-3</v>
      </c>
      <c r="R174">
        <v>6.2237000000000004E-3</v>
      </c>
      <c r="S174">
        <v>6.2059000000000003E-3</v>
      </c>
      <c r="T174">
        <v>6.2011999999999996E-3</v>
      </c>
      <c r="U174">
        <v>6.2160000000000002E-3</v>
      </c>
      <c r="V174">
        <v>6.2779999999999997E-3</v>
      </c>
      <c r="W174">
        <v>6.5141000000000001E-3</v>
      </c>
      <c r="X174">
        <v>6.6281999999999999E-3</v>
      </c>
      <c r="Y174">
        <v>7.9544000000000004E-3</v>
      </c>
      <c r="Z174">
        <v>7.7079000000000002E-3</v>
      </c>
      <c r="AA174">
        <v>7.8911999999999993E-3</v>
      </c>
      <c r="AB174">
        <v>7.9541000000000004E-3</v>
      </c>
      <c r="AC174">
        <v>7.9819000000000001E-3</v>
      </c>
      <c r="AD174">
        <v>8.0595000000000007E-3</v>
      </c>
    </row>
    <row r="175" spans="1:30">
      <c r="A175">
        <v>775</v>
      </c>
      <c r="B175" t="s">
        <v>164</v>
      </c>
      <c r="C175" s="534">
        <v>3.3506E-3</v>
      </c>
      <c r="D175" s="534">
        <v>3.5601999999999999E-3</v>
      </c>
      <c r="E175" s="534">
        <v>3.5894E-3</v>
      </c>
      <c r="F175" s="534">
        <v>3.2004999999999998E-3</v>
      </c>
      <c r="G175" s="534">
        <v>3.4012000000000001E-3</v>
      </c>
      <c r="H175" s="534">
        <v>3.4497999999999998E-3</v>
      </c>
      <c r="I175" s="534">
        <v>3.382E-3</v>
      </c>
      <c r="J175" s="534">
        <v>3.3701999999999998E-3</v>
      </c>
      <c r="K175" s="534">
        <v>3.3468E-3</v>
      </c>
      <c r="L175" s="534">
        <v>3.4656999999999999E-3</v>
      </c>
      <c r="M175" s="534">
        <v>3.7810000000000001E-3</v>
      </c>
      <c r="N175">
        <v>4.3235000000000001E-3</v>
      </c>
      <c r="O175">
        <v>4.3011999999999998E-3</v>
      </c>
      <c r="P175">
        <v>5.1193000000000002E-3</v>
      </c>
      <c r="Q175">
        <v>4.927E-3</v>
      </c>
      <c r="R175">
        <v>4.9567999999999999E-3</v>
      </c>
      <c r="S175">
        <v>5.0117E-3</v>
      </c>
      <c r="T175">
        <v>5.0620999999999999E-3</v>
      </c>
      <c r="U175">
        <v>5.0559000000000003E-3</v>
      </c>
      <c r="V175">
        <v>5.1749999999999999E-3</v>
      </c>
      <c r="W175">
        <v>4.9449999999999997E-3</v>
      </c>
      <c r="X175">
        <v>5.2601000000000002E-3</v>
      </c>
      <c r="Y175">
        <v>6.9217000000000002E-3</v>
      </c>
      <c r="Z175">
        <v>7.2173999999999997E-3</v>
      </c>
      <c r="AA175">
        <v>7.1779000000000001E-3</v>
      </c>
      <c r="AB175">
        <v>7.4018E-3</v>
      </c>
      <c r="AC175">
        <v>6.4764999999999996E-3</v>
      </c>
      <c r="AD175">
        <v>6.3953999999999999E-3</v>
      </c>
    </row>
    <row r="176" spans="1:30">
      <c r="A176">
        <v>780</v>
      </c>
      <c r="B176" t="s">
        <v>165</v>
      </c>
      <c r="C176" s="534">
        <v>9.5450000000000005E-4</v>
      </c>
      <c r="D176" s="534">
        <v>9.5969999999999996E-4</v>
      </c>
      <c r="E176" s="534">
        <v>9.6270000000000004E-4</v>
      </c>
      <c r="F176" s="534">
        <v>9.4169999999999996E-4</v>
      </c>
      <c r="G176" s="534">
        <v>9.4959999999999999E-4</v>
      </c>
      <c r="H176" s="534">
        <v>1.005E-3</v>
      </c>
      <c r="I176" s="534">
        <v>1.0628E-3</v>
      </c>
      <c r="J176" s="534">
        <v>1.0061E-3</v>
      </c>
      <c r="K176" s="534">
        <v>9.7550000000000002E-4</v>
      </c>
      <c r="L176" s="534">
        <v>9.8909999999999992E-4</v>
      </c>
      <c r="M176" s="534">
        <v>9.8890000000000002E-4</v>
      </c>
      <c r="N176">
        <v>1.5896E-3</v>
      </c>
      <c r="O176">
        <v>1.6421000000000001E-3</v>
      </c>
      <c r="P176">
        <v>1.6504E-3</v>
      </c>
      <c r="Q176">
        <v>1.6659999999999999E-3</v>
      </c>
      <c r="R176">
        <v>1.6930000000000001E-3</v>
      </c>
      <c r="S176">
        <v>1.7466000000000001E-3</v>
      </c>
      <c r="T176">
        <v>1.7645E-3</v>
      </c>
      <c r="U176">
        <v>1.7930000000000001E-3</v>
      </c>
      <c r="V176">
        <v>1.6653E-3</v>
      </c>
      <c r="W176">
        <v>1.7849999999999999E-3</v>
      </c>
      <c r="X176">
        <v>1.8504999999999999E-3</v>
      </c>
      <c r="Y176">
        <v>2.0895000000000002E-3</v>
      </c>
      <c r="Z176">
        <v>2.0171999999999998E-3</v>
      </c>
      <c r="AA176">
        <v>2.0330000000000001E-3</v>
      </c>
      <c r="AB176">
        <v>2.0679000000000001E-3</v>
      </c>
      <c r="AC176">
        <v>1.7371000000000001E-3</v>
      </c>
      <c r="AD176">
        <v>2.0777999999999999E-3</v>
      </c>
    </row>
    <row r="177" spans="1:30">
      <c r="A177">
        <v>781</v>
      </c>
      <c r="B177" t="s">
        <v>166</v>
      </c>
      <c r="C177" s="23">
        <v>7.17E-6</v>
      </c>
      <c r="D177" s="23">
        <v>7.2599999999999999E-6</v>
      </c>
      <c r="E177" s="23">
        <v>7.3699999999999997E-6</v>
      </c>
      <c r="F177" s="23">
        <v>7.5000000000000002E-6</v>
      </c>
      <c r="G177" s="23">
        <v>6.6900000000000003E-6</v>
      </c>
      <c r="H177" s="23">
        <v>7.6299999999999998E-6</v>
      </c>
      <c r="I177" s="23">
        <v>6.46E-6</v>
      </c>
      <c r="J177" s="23">
        <v>6.5899999999999996E-6</v>
      </c>
      <c r="K177" s="23">
        <v>6.6699999999999997E-6</v>
      </c>
      <c r="L177" s="23">
        <v>6.7700000000000004E-6</v>
      </c>
      <c r="M177" s="23">
        <v>6.7800000000000003E-6</v>
      </c>
      <c r="N177" s="23">
        <v>7.0099999999999998E-6</v>
      </c>
      <c r="O177" s="23">
        <v>7.1400000000000002E-6</v>
      </c>
      <c r="P177" s="23">
        <v>7.25E-6</v>
      </c>
      <c r="Q177" s="23">
        <v>8.8699999999999998E-6</v>
      </c>
      <c r="R177" s="23">
        <v>9.0299999999999999E-6</v>
      </c>
      <c r="S177" s="23">
        <v>9.2199999999999998E-6</v>
      </c>
      <c r="T177" s="23">
        <v>9.4399999999999994E-6</v>
      </c>
      <c r="U177">
        <v>1.5800000000000001E-5</v>
      </c>
      <c r="V177">
        <v>1.6200000000000001E-5</v>
      </c>
      <c r="W177">
        <v>1.5E-5</v>
      </c>
      <c r="X177">
        <v>1.47E-5</v>
      </c>
      <c r="Y177">
        <v>1.5099999999999999E-5</v>
      </c>
      <c r="Z177">
        <v>1.59E-5</v>
      </c>
      <c r="AA177">
        <v>1.63E-5</v>
      </c>
      <c r="AB177">
        <v>1.7799999999999999E-5</v>
      </c>
      <c r="AC177">
        <v>2.83E-5</v>
      </c>
      <c r="AD177">
        <v>2.9099999999999999E-5</v>
      </c>
    </row>
    <row r="178" spans="1:30">
      <c r="A178">
        <v>790</v>
      </c>
      <c r="B178" t="s">
        <v>167</v>
      </c>
      <c r="C178" s="23">
        <v>7.8980000000000001E-4</v>
      </c>
      <c r="D178" s="23">
        <v>8.007E-4</v>
      </c>
      <c r="E178" s="23">
        <v>8.0900000000000004E-4</v>
      </c>
      <c r="F178" s="23">
        <v>8.183E-4</v>
      </c>
      <c r="G178" s="23">
        <v>8.0559999999999996E-4</v>
      </c>
      <c r="H178" s="23">
        <v>8.0889999999999998E-4</v>
      </c>
      <c r="I178" s="23">
        <v>8.2030000000000004E-4</v>
      </c>
      <c r="J178" s="23">
        <v>8.5229999999999995E-4</v>
      </c>
      <c r="K178" s="23">
        <v>8.7949999999999996E-4</v>
      </c>
      <c r="L178" s="23">
        <v>8.8579999999999996E-4</v>
      </c>
      <c r="M178" s="534">
        <v>8.6589999999999996E-4</v>
      </c>
      <c r="N178">
        <v>9.2290000000000004E-4</v>
      </c>
      <c r="O178">
        <v>9.1379999999999999E-4</v>
      </c>
      <c r="P178">
        <v>9.3499999999999996E-4</v>
      </c>
      <c r="Q178">
        <v>9.8970000000000004E-4</v>
      </c>
      <c r="R178">
        <v>1.0425E-3</v>
      </c>
      <c r="S178">
        <v>9.9310000000000002E-4</v>
      </c>
      <c r="T178">
        <v>1.0445000000000001E-3</v>
      </c>
      <c r="U178">
        <v>1.0564000000000001E-3</v>
      </c>
      <c r="V178">
        <v>1.0705000000000001E-3</v>
      </c>
      <c r="W178">
        <v>1.2075E-3</v>
      </c>
      <c r="X178">
        <v>1.2072999999999999E-3</v>
      </c>
      <c r="Y178">
        <v>1.2232E-3</v>
      </c>
      <c r="Z178">
        <v>1.323E-3</v>
      </c>
      <c r="AA178">
        <v>1.3722999999999999E-3</v>
      </c>
      <c r="AB178">
        <v>1.4197999999999999E-3</v>
      </c>
      <c r="AC178">
        <v>1.4224000000000001E-3</v>
      </c>
      <c r="AD178">
        <v>1.4372E-3</v>
      </c>
    </row>
    <row r="179" spans="1:30">
      <c r="A179">
        <v>800</v>
      </c>
      <c r="B179" t="s">
        <v>168</v>
      </c>
      <c r="C179" s="23">
        <v>4.9014000000000002E-3</v>
      </c>
      <c r="D179" s="23">
        <v>5.0429000000000003E-3</v>
      </c>
      <c r="E179" s="23">
        <v>5.1085000000000002E-3</v>
      </c>
      <c r="F179" s="23">
        <v>5.0670999999999997E-3</v>
      </c>
      <c r="G179" s="23">
        <v>5.0255999999999999E-3</v>
      </c>
      <c r="H179" s="23">
        <v>5.1307000000000002E-3</v>
      </c>
      <c r="I179" s="23">
        <v>5.1900000000000002E-3</v>
      </c>
      <c r="J179" s="23">
        <v>5.1776000000000001E-3</v>
      </c>
      <c r="K179" s="23">
        <v>5.1526000000000002E-3</v>
      </c>
      <c r="L179" s="534">
        <v>5.6963999999999999E-3</v>
      </c>
      <c r="M179" s="534">
        <v>5.6030999999999997E-3</v>
      </c>
      <c r="N179">
        <v>5.9345999999999999E-3</v>
      </c>
      <c r="O179">
        <v>6.2487999999999997E-3</v>
      </c>
      <c r="P179">
        <v>6.4923000000000003E-3</v>
      </c>
      <c r="Q179">
        <v>6.7860000000000004E-3</v>
      </c>
      <c r="R179">
        <v>7.1073999999999998E-3</v>
      </c>
      <c r="S179">
        <v>7.4606999999999998E-3</v>
      </c>
      <c r="T179">
        <v>7.3740000000000003E-3</v>
      </c>
      <c r="U179">
        <v>7.0254999999999996E-3</v>
      </c>
      <c r="V179">
        <v>7.2208000000000003E-3</v>
      </c>
      <c r="W179">
        <v>7.2418999999999999E-3</v>
      </c>
      <c r="X179">
        <v>1.05725E-2</v>
      </c>
      <c r="Y179">
        <v>7.4164000000000001E-3</v>
      </c>
      <c r="Z179">
        <v>7.6333E-3</v>
      </c>
      <c r="AA179">
        <v>7.8239E-3</v>
      </c>
      <c r="AB179">
        <v>7.9538000000000005E-3</v>
      </c>
      <c r="AC179">
        <v>7.7460999999999997E-3</v>
      </c>
      <c r="AD179">
        <v>7.9734000000000003E-3</v>
      </c>
    </row>
    <row r="180" spans="1:30">
      <c r="A180">
        <v>811</v>
      </c>
      <c r="B180" t="s">
        <v>169</v>
      </c>
      <c r="C180" s="23">
        <v>6.5899999999999997E-4</v>
      </c>
      <c r="D180" s="23">
        <v>5.3870000000000003E-4</v>
      </c>
      <c r="E180" s="23">
        <v>5.396E-4</v>
      </c>
      <c r="F180" s="23">
        <v>5.4290000000000002E-4</v>
      </c>
      <c r="G180" s="23">
        <v>6.0760000000000002E-4</v>
      </c>
      <c r="H180" s="23">
        <v>6.4740000000000002E-4</v>
      </c>
      <c r="I180" s="23">
        <v>8.3989999999999998E-4</v>
      </c>
      <c r="J180" s="23">
        <v>8.6149999999999996E-4</v>
      </c>
      <c r="K180" s="534">
        <v>8.742E-4</v>
      </c>
      <c r="L180" s="534">
        <v>1.1696E-3</v>
      </c>
      <c r="M180" s="534">
        <v>1.2802E-3</v>
      </c>
      <c r="N180">
        <v>1.1493E-3</v>
      </c>
      <c r="O180">
        <v>1.3447000000000001E-3</v>
      </c>
      <c r="P180">
        <v>1.1494999999999999E-3</v>
      </c>
      <c r="Q180">
        <v>9.8339999999999994E-4</v>
      </c>
      <c r="R180">
        <v>1.0405E-3</v>
      </c>
      <c r="S180">
        <v>1.0387E-3</v>
      </c>
      <c r="T180">
        <v>1.1033E-3</v>
      </c>
      <c r="U180">
        <v>1.2103000000000001E-3</v>
      </c>
      <c r="V180">
        <v>1.1282E-3</v>
      </c>
      <c r="W180">
        <v>1.6673E-3</v>
      </c>
      <c r="X180">
        <v>1.7064999999999999E-3</v>
      </c>
      <c r="Y180">
        <v>1.5016000000000001E-3</v>
      </c>
      <c r="Z180">
        <v>1.5066000000000001E-3</v>
      </c>
      <c r="AA180">
        <v>1.5145E-3</v>
      </c>
      <c r="AB180">
        <v>1.5395000000000001E-3</v>
      </c>
      <c r="AC180">
        <v>1.534E-3</v>
      </c>
      <c r="AD180">
        <v>1.5558E-3</v>
      </c>
    </row>
    <row r="181" spans="1:30">
      <c r="A181">
        <v>812</v>
      </c>
      <c r="B181" t="s">
        <v>170</v>
      </c>
      <c r="C181" s="23">
        <v>5.2479999999999996E-4</v>
      </c>
      <c r="D181" s="23">
        <v>4.6480000000000002E-4</v>
      </c>
      <c r="E181" s="23">
        <v>5.5309999999999995E-4</v>
      </c>
      <c r="F181" s="23">
        <v>5.7799999999999995E-4</v>
      </c>
      <c r="G181" s="23">
        <v>5.1119999999999996E-4</v>
      </c>
      <c r="H181" s="23">
        <v>5.13E-4</v>
      </c>
      <c r="I181" s="23">
        <v>6.1209999999999997E-4</v>
      </c>
      <c r="J181" s="534">
        <v>6.1620000000000002E-4</v>
      </c>
      <c r="K181" s="534">
        <v>6.1289999999999999E-4</v>
      </c>
      <c r="L181" s="534">
        <v>5.195E-4</v>
      </c>
      <c r="M181" s="534">
        <v>6.2200000000000005E-4</v>
      </c>
      <c r="N181">
        <v>6.5070000000000004E-4</v>
      </c>
      <c r="O181">
        <v>4.7479999999999999E-4</v>
      </c>
      <c r="P181">
        <v>4.8710000000000002E-4</v>
      </c>
      <c r="Q181">
        <v>5.4310000000000003E-4</v>
      </c>
      <c r="R181">
        <v>5.8359999999999998E-4</v>
      </c>
      <c r="S181">
        <v>5.9630000000000002E-4</v>
      </c>
      <c r="T181">
        <v>6.0159999999999999E-4</v>
      </c>
      <c r="U181">
        <v>6.0380000000000004E-4</v>
      </c>
      <c r="V181">
        <v>6.0190000000000005E-4</v>
      </c>
      <c r="W181">
        <v>4.4220000000000001E-4</v>
      </c>
      <c r="X181">
        <v>4.5449999999999999E-4</v>
      </c>
      <c r="Y181">
        <v>4.5540000000000001E-4</v>
      </c>
      <c r="Z181">
        <v>4.55E-4</v>
      </c>
      <c r="AA181">
        <v>4.662E-4</v>
      </c>
      <c r="AB181">
        <v>4.6500000000000003E-4</v>
      </c>
      <c r="AC181">
        <v>4.6450000000000001E-4</v>
      </c>
      <c r="AD181">
        <v>4.7080000000000001E-4</v>
      </c>
    </row>
    <row r="182" spans="1:30">
      <c r="A182">
        <v>816</v>
      </c>
      <c r="B182" t="s">
        <v>171</v>
      </c>
      <c r="C182" s="23">
        <v>1.08059E-2</v>
      </c>
      <c r="D182" s="23">
        <v>1.13854E-2</v>
      </c>
      <c r="E182" s="23">
        <v>1.1436999999999999E-2</v>
      </c>
      <c r="F182" s="23">
        <v>1.1686500000000001E-2</v>
      </c>
      <c r="G182" s="23">
        <v>1.0939300000000001E-2</v>
      </c>
      <c r="H182" s="23">
        <v>9.8143999999999992E-3</v>
      </c>
      <c r="I182" s="534">
        <v>1.12078E-2</v>
      </c>
      <c r="J182" s="534">
        <v>1.28962E-2</v>
      </c>
      <c r="K182" s="534">
        <v>1.09917E-2</v>
      </c>
      <c r="L182" s="534">
        <v>1.10388E-2</v>
      </c>
      <c r="M182" s="534">
        <v>9.6854999999999997E-3</v>
      </c>
      <c r="N182">
        <v>1.05559E-2</v>
      </c>
      <c r="O182">
        <v>9.4362999999999999E-3</v>
      </c>
      <c r="P182">
        <v>9.5551000000000004E-3</v>
      </c>
      <c r="Q182">
        <v>8.7168999999999996E-3</v>
      </c>
      <c r="R182">
        <v>8.3814000000000007E-3</v>
      </c>
      <c r="S182">
        <v>8.5191999999999993E-3</v>
      </c>
      <c r="T182">
        <v>8.5873000000000008E-3</v>
      </c>
      <c r="U182">
        <v>8.6548000000000007E-3</v>
      </c>
      <c r="V182">
        <v>7.4143999999999998E-3</v>
      </c>
      <c r="W182">
        <v>7.6667999999999997E-3</v>
      </c>
      <c r="X182">
        <v>7.8673000000000007E-3</v>
      </c>
      <c r="Y182">
        <v>7.8508999999999992E-3</v>
      </c>
      <c r="Z182">
        <v>7.7935000000000001E-3</v>
      </c>
      <c r="AA182">
        <v>8.0260999999999996E-3</v>
      </c>
      <c r="AB182">
        <v>8.1624999999999996E-3</v>
      </c>
      <c r="AC182">
        <v>8.1463000000000004E-3</v>
      </c>
      <c r="AD182">
        <v>7.6122000000000004E-3</v>
      </c>
    </row>
    <row r="183" spans="1:30">
      <c r="A183">
        <v>820</v>
      </c>
      <c r="B183" t="s">
        <v>172</v>
      </c>
      <c r="C183" s="23">
        <v>2.1197E-3</v>
      </c>
      <c r="D183" s="23">
        <v>2.1640000000000001E-3</v>
      </c>
      <c r="E183" s="23">
        <v>2.1654999999999999E-3</v>
      </c>
      <c r="F183" s="23">
        <v>2.2344999999999999E-3</v>
      </c>
      <c r="G183" s="23">
        <v>2.1326000000000001E-3</v>
      </c>
      <c r="H183" s="534">
        <v>2.1794000000000002E-3</v>
      </c>
      <c r="I183" s="534">
        <v>2.0387999999999999E-3</v>
      </c>
      <c r="J183" s="534">
        <v>2.0002000000000002E-3</v>
      </c>
      <c r="K183" s="534">
        <v>2.1224E-3</v>
      </c>
      <c r="L183" s="534">
        <v>2.1887999999999999E-3</v>
      </c>
      <c r="M183" s="534">
        <v>2.5054999999999999E-3</v>
      </c>
      <c r="N183">
        <v>2.7288E-3</v>
      </c>
      <c r="O183">
        <v>3.0904999999999999E-3</v>
      </c>
      <c r="P183">
        <v>3.2062000000000002E-3</v>
      </c>
      <c r="Q183">
        <v>3.3828E-3</v>
      </c>
      <c r="R183">
        <v>3.7098999999999999E-3</v>
      </c>
      <c r="S183">
        <v>3.9430999999999997E-3</v>
      </c>
      <c r="T183">
        <v>3.6852999999999999E-3</v>
      </c>
      <c r="U183">
        <v>3.2079000000000001E-3</v>
      </c>
      <c r="V183">
        <v>3.5006999999999998E-3</v>
      </c>
      <c r="W183">
        <v>3.5902E-3</v>
      </c>
      <c r="X183">
        <v>3.9325000000000002E-3</v>
      </c>
      <c r="Y183">
        <v>3.8706999999999999E-3</v>
      </c>
      <c r="Z183">
        <v>3.8646000000000002E-3</v>
      </c>
      <c r="AA183">
        <v>4.0875E-3</v>
      </c>
      <c r="AB183">
        <v>4.1552000000000004E-3</v>
      </c>
      <c r="AC183">
        <v>4.1703E-3</v>
      </c>
      <c r="AD183">
        <v>4.4026999999999998E-3</v>
      </c>
    </row>
    <row r="184" spans="1:30">
      <c r="A184">
        <v>830</v>
      </c>
      <c r="B184" t="s">
        <v>173</v>
      </c>
      <c r="C184" s="23">
        <v>1.5824000000000001E-3</v>
      </c>
      <c r="D184" s="23">
        <v>1.7596999999999999E-3</v>
      </c>
      <c r="E184" s="23">
        <v>1.7389E-3</v>
      </c>
      <c r="F184" s="23">
        <v>1.6884000000000001E-3</v>
      </c>
      <c r="G184" s="534">
        <v>2.4729000000000001E-3</v>
      </c>
      <c r="H184" s="534">
        <v>2.3525E-3</v>
      </c>
      <c r="I184" s="534">
        <v>2.2780999999999999E-3</v>
      </c>
      <c r="J184" s="534">
        <v>2.1814E-3</v>
      </c>
      <c r="K184" s="534">
        <v>2.2200000000000002E-3</v>
      </c>
      <c r="L184" s="534">
        <v>2.4802000000000001E-3</v>
      </c>
      <c r="M184" s="534">
        <v>2.7856999999999999E-3</v>
      </c>
      <c r="N184">
        <v>3.0052E-3</v>
      </c>
      <c r="O184">
        <v>3.0861999999999999E-3</v>
      </c>
      <c r="P184">
        <v>3.2098000000000001E-3</v>
      </c>
      <c r="Q184">
        <v>3.4252000000000002E-3</v>
      </c>
      <c r="R184">
        <v>3.4014000000000002E-3</v>
      </c>
      <c r="S184">
        <v>3.5051000000000001E-3</v>
      </c>
      <c r="T184">
        <v>3.5809000000000001E-3</v>
      </c>
      <c r="U184">
        <v>3.6311E-3</v>
      </c>
      <c r="V184">
        <v>3.2859E-3</v>
      </c>
      <c r="W184">
        <v>3.0224000000000002E-3</v>
      </c>
      <c r="X184">
        <v>2.9702999999999999E-3</v>
      </c>
      <c r="Y184">
        <v>2.9467999999999999E-3</v>
      </c>
      <c r="Z184">
        <v>2.9052000000000001E-3</v>
      </c>
      <c r="AA184">
        <v>3.0233E-3</v>
      </c>
      <c r="AB184">
        <v>3.3322999999999998E-3</v>
      </c>
      <c r="AC184">
        <v>3.3467000000000002E-3</v>
      </c>
      <c r="AD184">
        <v>3.2263999999999999E-3</v>
      </c>
    </row>
    <row r="185" spans="1:30">
      <c r="A185">
        <v>835</v>
      </c>
      <c r="B185" t="s">
        <v>174</v>
      </c>
      <c r="G185" s="23">
        <v>1.137E-4</v>
      </c>
      <c r="H185" s="23">
        <v>9.7999999999999997E-5</v>
      </c>
      <c r="I185" s="23">
        <v>9.6899999999999997E-5</v>
      </c>
      <c r="J185" s="534">
        <v>9.31E-5</v>
      </c>
      <c r="K185" s="534">
        <v>1.111E-4</v>
      </c>
      <c r="L185" s="534">
        <v>1.4300000000000001E-4</v>
      </c>
      <c r="M185" s="534">
        <v>8.8300000000000005E-5</v>
      </c>
      <c r="N185">
        <v>7.86E-5</v>
      </c>
      <c r="O185">
        <v>1.537E-4</v>
      </c>
      <c r="P185">
        <v>1.238E-4</v>
      </c>
      <c r="Q185">
        <v>1.2679999999999999E-4</v>
      </c>
      <c r="R185">
        <v>1.281E-4</v>
      </c>
      <c r="S185">
        <v>1.4119999999999999E-4</v>
      </c>
      <c r="T185">
        <v>1.516E-4</v>
      </c>
      <c r="U185">
        <v>1.5660000000000001E-4</v>
      </c>
      <c r="V185">
        <v>1.5200000000000001E-4</v>
      </c>
      <c r="W185">
        <v>1.4870000000000001E-4</v>
      </c>
      <c r="X185">
        <v>1.405E-4</v>
      </c>
      <c r="Y185">
        <v>1.4530000000000001E-4</v>
      </c>
      <c r="Z185">
        <v>1.3799999999999999E-4</v>
      </c>
      <c r="AA185">
        <v>1.393E-4</v>
      </c>
      <c r="AB185">
        <v>1.4019999999999999E-4</v>
      </c>
      <c r="AC185">
        <v>1.3909999999999999E-4</v>
      </c>
      <c r="AD185">
        <v>1.4469999999999999E-4</v>
      </c>
    </row>
    <row r="186" spans="1:30">
      <c r="A186">
        <v>840</v>
      </c>
      <c r="B186" t="s">
        <v>175</v>
      </c>
      <c r="C186" s="23">
        <v>4.6452999999999998E-3</v>
      </c>
      <c r="D186" s="23">
        <v>4.7902999999999999E-3</v>
      </c>
      <c r="E186" s="534">
        <v>4.8370000000000002E-3</v>
      </c>
      <c r="F186" s="534">
        <v>4.4656000000000001E-3</v>
      </c>
      <c r="G186" s="534">
        <v>4.8300000000000001E-3</v>
      </c>
      <c r="H186" s="534">
        <v>4.895E-3</v>
      </c>
      <c r="I186" s="534">
        <v>4.8405999999999996E-3</v>
      </c>
      <c r="J186" s="534">
        <v>5.0591000000000004E-3</v>
      </c>
      <c r="K186" s="534">
        <v>5.3771000000000001E-3</v>
      </c>
      <c r="L186" s="534">
        <v>5.3312000000000003E-3</v>
      </c>
      <c r="M186" s="534">
        <v>5.1581999999999999E-3</v>
      </c>
      <c r="N186">
        <v>5.1544E-3</v>
      </c>
      <c r="O186">
        <v>5.3410999999999997E-3</v>
      </c>
      <c r="P186">
        <v>5.3550000000000004E-3</v>
      </c>
      <c r="Q186">
        <v>5.3376999999999999E-3</v>
      </c>
      <c r="R186">
        <v>5.6464999999999996E-3</v>
      </c>
      <c r="S186">
        <v>5.7958999999999997E-3</v>
      </c>
      <c r="T186">
        <v>5.8834999999999998E-3</v>
      </c>
      <c r="U186">
        <v>5.8995000000000002E-3</v>
      </c>
      <c r="V186">
        <v>5.9791000000000002E-3</v>
      </c>
      <c r="W186">
        <v>5.9189999999999998E-3</v>
      </c>
      <c r="X186">
        <v>5.901E-3</v>
      </c>
      <c r="Y186">
        <v>5.8707000000000004E-3</v>
      </c>
      <c r="Z186">
        <v>5.5640999999999998E-3</v>
      </c>
      <c r="AA186">
        <v>5.6049000000000003E-3</v>
      </c>
      <c r="AB186">
        <v>5.6401000000000003E-3</v>
      </c>
      <c r="AC186">
        <v>5.6537999999999996E-3</v>
      </c>
      <c r="AD186">
        <v>5.7216999999999997E-3</v>
      </c>
    </row>
    <row r="187" spans="1:30">
      <c r="A187">
        <v>850</v>
      </c>
      <c r="B187" t="s">
        <v>176</v>
      </c>
      <c r="C187" s="23">
        <v>1.2665300000000001E-2</v>
      </c>
      <c r="D187" s="534">
        <v>1.3032E-2</v>
      </c>
      <c r="E187" s="534">
        <v>1.31474E-2</v>
      </c>
      <c r="F187" s="534">
        <v>1.3080899999999999E-2</v>
      </c>
      <c r="G187" s="534">
        <v>1.2921E-2</v>
      </c>
      <c r="H187" s="534">
        <v>1.25868E-2</v>
      </c>
      <c r="I187" s="534">
        <v>1.25086E-2</v>
      </c>
      <c r="J187" s="534">
        <v>1.2440700000000001E-2</v>
      </c>
      <c r="K187" s="534">
        <v>1.25048E-2</v>
      </c>
      <c r="L187" s="534">
        <v>1.2712299999999999E-2</v>
      </c>
      <c r="M187" s="534">
        <v>1.25863E-2</v>
      </c>
      <c r="N187">
        <v>1.32269E-2</v>
      </c>
      <c r="O187">
        <v>1.3458299999999999E-2</v>
      </c>
      <c r="P187">
        <v>1.34275E-2</v>
      </c>
      <c r="Q187">
        <v>1.3539300000000001E-2</v>
      </c>
      <c r="R187">
        <v>1.4105599999999999E-2</v>
      </c>
      <c r="S187">
        <v>1.5281899999999999E-2</v>
      </c>
      <c r="T187">
        <v>1.6152400000000001E-2</v>
      </c>
      <c r="U187">
        <v>1.4595E-2</v>
      </c>
      <c r="V187">
        <v>1.4624399999999999E-2</v>
      </c>
      <c r="W187">
        <v>1.3831700000000001E-2</v>
      </c>
      <c r="X187">
        <v>1.38952E-2</v>
      </c>
      <c r="Y187">
        <v>1.46883E-2</v>
      </c>
      <c r="Z187">
        <v>1.40781E-2</v>
      </c>
      <c r="AA187">
        <v>1.3462200000000001E-2</v>
      </c>
      <c r="AB187">
        <v>1.35654E-2</v>
      </c>
      <c r="AC187">
        <v>1.35657E-2</v>
      </c>
      <c r="AD187">
        <v>1.37077E-2</v>
      </c>
    </row>
    <row r="188" spans="1:30" s="21" customFormat="1">
      <c r="A188">
        <v>860</v>
      </c>
      <c r="B188" t="s">
        <v>197</v>
      </c>
      <c r="C188" s="534"/>
      <c r="D188" s="534"/>
      <c r="E188" s="534"/>
      <c r="F188" s="534"/>
      <c r="G188" s="534"/>
      <c r="H188" s="534"/>
      <c r="I188" s="534"/>
      <c r="J188" s="534"/>
      <c r="K188" s="534"/>
      <c r="L188" s="534"/>
      <c r="M188" s="534"/>
      <c r="Y188">
        <v>1.384E-4</v>
      </c>
      <c r="Z188">
        <v>1.3469999999999999E-4</v>
      </c>
      <c r="AA188">
        <v>1.3119999999999999E-4</v>
      </c>
      <c r="AB188">
        <v>1.306E-4</v>
      </c>
      <c r="AC188" s="21">
        <v>1.137E-4</v>
      </c>
      <c r="AD188">
        <v>1.131E-4</v>
      </c>
    </row>
    <row r="189" spans="1:30">
      <c r="A189">
        <v>900</v>
      </c>
      <c r="B189" t="s">
        <v>177</v>
      </c>
      <c r="C189" s="534">
        <v>7.2120999999999999E-3</v>
      </c>
      <c r="D189" s="534">
        <v>7.3149E-3</v>
      </c>
      <c r="E189" s="534">
        <v>7.2310999999999999E-3</v>
      </c>
      <c r="F189" s="534">
        <v>6.8814000000000002E-3</v>
      </c>
      <c r="G189" s="534">
        <v>6.0101E-3</v>
      </c>
      <c r="H189" s="534">
        <v>6.4457999999999998E-3</v>
      </c>
      <c r="I189" s="534">
        <v>6.4948000000000002E-3</v>
      </c>
      <c r="J189" s="534">
        <v>6.3325999999999999E-3</v>
      </c>
      <c r="K189" s="534">
        <v>6.3508000000000002E-3</v>
      </c>
      <c r="L189" s="534">
        <v>6.7291E-3</v>
      </c>
      <c r="M189" s="534">
        <v>6.7922E-3</v>
      </c>
      <c r="N189">
        <v>7.0908999999999998E-3</v>
      </c>
      <c r="O189">
        <v>7.3838000000000003E-3</v>
      </c>
      <c r="P189">
        <v>7.6499000000000003E-3</v>
      </c>
      <c r="Q189">
        <v>7.6058999999999996E-3</v>
      </c>
      <c r="R189">
        <v>7.6819999999999996E-3</v>
      </c>
      <c r="S189">
        <v>7.7673999999999998E-3</v>
      </c>
      <c r="T189">
        <v>7.7819999999999999E-3</v>
      </c>
      <c r="U189">
        <v>7.7296999999999999E-3</v>
      </c>
      <c r="V189">
        <v>7.3628000000000001E-3</v>
      </c>
      <c r="W189">
        <v>6.7378999999999998E-3</v>
      </c>
      <c r="X189">
        <v>6.5249000000000001E-3</v>
      </c>
      <c r="Y189">
        <v>6.8662000000000003E-3</v>
      </c>
      <c r="Z189" s="21">
        <v>6.7564000000000001E-3</v>
      </c>
      <c r="AA189" s="21">
        <v>6.8174999999999998E-3</v>
      </c>
      <c r="AB189" s="21">
        <v>7.0556999999999998E-3</v>
      </c>
      <c r="AC189">
        <v>7.0162000000000002E-3</v>
      </c>
      <c r="AD189" s="21">
        <v>7.1124999999999999E-3</v>
      </c>
    </row>
    <row r="190" spans="1:30">
      <c r="A190">
        <v>910</v>
      </c>
      <c r="B190" t="s">
        <v>178</v>
      </c>
      <c r="C190" s="534">
        <v>1.862E-4</v>
      </c>
      <c r="D190" s="534">
        <v>1.8890000000000001E-4</v>
      </c>
      <c r="E190" s="534">
        <v>1.885E-4</v>
      </c>
      <c r="F190" s="534">
        <v>1.897E-4</v>
      </c>
      <c r="G190" s="534">
        <v>1.8239999999999999E-4</v>
      </c>
      <c r="H190" s="534">
        <v>1.8349999999999999E-4</v>
      </c>
      <c r="I190" s="534">
        <v>1.819E-4</v>
      </c>
      <c r="J190" s="534">
        <v>1.839E-4</v>
      </c>
      <c r="K190" s="534">
        <v>1.8259999999999999E-4</v>
      </c>
      <c r="L190" s="534">
        <v>1.8679999999999999E-4</v>
      </c>
      <c r="M190" s="534">
        <v>1.919E-4</v>
      </c>
      <c r="N190">
        <v>1.964E-4</v>
      </c>
      <c r="O190">
        <v>2.0269999999999999E-4</v>
      </c>
      <c r="P190">
        <v>2.1000000000000001E-4</v>
      </c>
      <c r="Q190">
        <v>2.1010000000000001E-4</v>
      </c>
      <c r="R190">
        <v>2.1120000000000001E-4</v>
      </c>
      <c r="S190">
        <v>2.221E-4</v>
      </c>
      <c r="T190">
        <v>2.198E-4</v>
      </c>
      <c r="U190">
        <v>2.2130000000000001E-4</v>
      </c>
      <c r="V190">
        <v>2.12E-4</v>
      </c>
      <c r="W190">
        <v>2.0909999999999999E-4</v>
      </c>
      <c r="X190">
        <v>2.0900000000000001E-4</v>
      </c>
      <c r="Y190">
        <v>2.142E-4</v>
      </c>
      <c r="Z190">
        <v>2.1929999999999999E-4</v>
      </c>
      <c r="AA190">
        <v>2.2660000000000001E-4</v>
      </c>
      <c r="AB190">
        <v>2.351E-4</v>
      </c>
      <c r="AC190">
        <v>2.8659999999999997E-4</v>
      </c>
      <c r="AD190">
        <v>2.366E-4</v>
      </c>
    </row>
    <row r="191" spans="1:30">
      <c r="A191">
        <v>920</v>
      </c>
      <c r="B191" t="s">
        <v>179</v>
      </c>
      <c r="C191" s="534">
        <v>5.8009999999999995E-4</v>
      </c>
      <c r="D191" s="534">
        <v>5.5639999999999997E-4</v>
      </c>
      <c r="E191" s="534">
        <v>5.7680000000000003E-4</v>
      </c>
      <c r="F191" s="534">
        <v>6.3360000000000001E-4</v>
      </c>
      <c r="G191" s="534">
        <v>5.8710000000000001E-4</v>
      </c>
      <c r="H191" s="534">
        <v>5.9630000000000002E-4</v>
      </c>
      <c r="I191" s="534">
        <v>6.2049999999999996E-4</v>
      </c>
      <c r="J191" s="534">
        <v>6.9070000000000004E-4</v>
      </c>
      <c r="K191" s="534">
        <v>7.2119999999999997E-4</v>
      </c>
      <c r="L191" s="534">
        <v>7.6409999999999998E-4</v>
      </c>
      <c r="M191" s="534">
        <v>8.1669999999999996E-4</v>
      </c>
      <c r="N191">
        <v>8.7029999999999996E-4</v>
      </c>
      <c r="O191">
        <v>8.5899999999999995E-4</v>
      </c>
      <c r="P191">
        <v>8.9499999999999996E-4</v>
      </c>
      <c r="Q191">
        <v>8.5979999999999997E-4</v>
      </c>
      <c r="R191">
        <v>9.1279999999999996E-4</v>
      </c>
      <c r="S191">
        <v>9.0359999999999995E-4</v>
      </c>
      <c r="T191">
        <v>8.7180000000000005E-4</v>
      </c>
      <c r="U191">
        <v>8.6510000000000005E-4</v>
      </c>
      <c r="V191">
        <v>8.5550000000000003E-4</v>
      </c>
      <c r="W191">
        <v>8.1110000000000004E-4</v>
      </c>
      <c r="X191">
        <v>8.0420000000000003E-4</v>
      </c>
      <c r="Y191">
        <v>7.9690000000000002E-4</v>
      </c>
      <c r="Z191">
        <v>8.0679999999999999E-4</v>
      </c>
      <c r="AA191">
        <v>8.0469999999999999E-4</v>
      </c>
      <c r="AB191">
        <v>8.3120000000000004E-4</v>
      </c>
      <c r="AC191">
        <v>8.1599999999999999E-4</v>
      </c>
      <c r="AD191">
        <v>7.7050000000000003E-4</v>
      </c>
    </row>
    <row r="192" spans="1:30">
      <c r="A192">
        <v>935</v>
      </c>
      <c r="B192" t="s">
        <v>180</v>
      </c>
      <c r="D192" s="23">
        <v>4.5900000000000001E-6</v>
      </c>
      <c r="E192" s="23">
        <v>4.6700000000000002E-6</v>
      </c>
      <c r="F192" s="23">
        <v>4.7299999999999996E-6</v>
      </c>
      <c r="G192" s="23">
        <v>4.7400000000000004E-6</v>
      </c>
      <c r="H192" s="23">
        <v>4.7999999999999998E-6</v>
      </c>
      <c r="I192" s="23">
        <v>4.8500000000000002E-6</v>
      </c>
      <c r="J192" s="23">
        <v>4.9300000000000002E-6</v>
      </c>
      <c r="K192" s="23">
        <v>5.0100000000000003E-6</v>
      </c>
      <c r="L192" s="23">
        <v>4.6099999999999999E-6</v>
      </c>
      <c r="M192" s="23">
        <v>4.6E-6</v>
      </c>
      <c r="N192" s="23">
        <v>4.7199999999999997E-6</v>
      </c>
      <c r="O192" s="23">
        <v>4.7700000000000001E-6</v>
      </c>
      <c r="P192" s="23">
        <v>4.8199999999999996E-6</v>
      </c>
      <c r="Q192" s="23">
        <v>4.8999999999999997E-6</v>
      </c>
      <c r="R192" s="23">
        <v>4.9400000000000001E-6</v>
      </c>
      <c r="S192" s="23">
        <v>4.9899999999999997E-6</v>
      </c>
      <c r="T192" s="23">
        <v>5.1800000000000004E-6</v>
      </c>
      <c r="U192" s="23">
        <v>5.22E-6</v>
      </c>
      <c r="V192" s="23">
        <v>5.4199999999999998E-6</v>
      </c>
      <c r="W192" s="23">
        <v>5.4600000000000002E-6</v>
      </c>
      <c r="X192" s="23">
        <v>5.4199999999999998E-6</v>
      </c>
      <c r="Y192" s="23">
        <v>5.5899999999999998E-6</v>
      </c>
      <c r="Z192" s="23">
        <v>5.7300000000000002E-6</v>
      </c>
      <c r="AA192" s="23">
        <v>5.8900000000000004E-6</v>
      </c>
      <c r="AB192" s="23">
        <v>5.8900000000000004E-6</v>
      </c>
      <c r="AC192" s="23">
        <v>5.8699999999999997E-6</v>
      </c>
      <c r="AD192" s="23">
        <v>5.8699999999999997E-6</v>
      </c>
    </row>
    <row r="193" spans="1:30">
      <c r="A193">
        <v>940</v>
      </c>
      <c r="B193" t="s">
        <v>181</v>
      </c>
      <c r="C193" s="23">
        <v>9.8800000000000003E-6</v>
      </c>
      <c r="D193" s="23">
        <v>1.01E-5</v>
      </c>
      <c r="E193" s="23">
        <v>1.03E-5</v>
      </c>
      <c r="F193" s="23">
        <v>1.04E-5</v>
      </c>
      <c r="G193" s="23">
        <v>1.0200000000000001E-5</v>
      </c>
      <c r="H193" s="23">
        <v>1.04E-5</v>
      </c>
      <c r="I193" s="23">
        <v>1.0499999999999999E-5</v>
      </c>
      <c r="J193" s="23">
        <v>1.0699999999999999E-5</v>
      </c>
      <c r="K193" s="23">
        <v>1.08E-5</v>
      </c>
      <c r="L193" s="534">
        <v>1.1E-5</v>
      </c>
      <c r="M193" s="534">
        <v>1.1E-5</v>
      </c>
      <c r="N193">
        <v>1.13E-5</v>
      </c>
      <c r="O193">
        <v>1.15E-5</v>
      </c>
      <c r="P193">
        <v>1.1600000000000001E-5</v>
      </c>
      <c r="Q193">
        <v>1.1800000000000001E-5</v>
      </c>
      <c r="R193">
        <v>1.2E-5</v>
      </c>
      <c r="S193">
        <v>1.22E-5</v>
      </c>
      <c r="T193">
        <v>1.24E-5</v>
      </c>
      <c r="U193">
        <v>1.26E-5</v>
      </c>
      <c r="V193">
        <v>1.2799999999999999E-5</v>
      </c>
      <c r="W193">
        <v>1.2999999999999999E-5</v>
      </c>
      <c r="X193">
        <v>1.2500000000000001E-5</v>
      </c>
      <c r="Y193">
        <v>1.26E-5</v>
      </c>
      <c r="Z193">
        <v>1.27E-5</v>
      </c>
      <c r="AA193">
        <v>1.2799999999999999E-5</v>
      </c>
      <c r="AB193">
        <v>1.2999999999999999E-5</v>
      </c>
      <c r="AC193">
        <v>1.31E-5</v>
      </c>
      <c r="AD193">
        <v>1.3200000000000001E-5</v>
      </c>
    </row>
    <row r="194" spans="1:30" s="21" customFormat="1">
      <c r="A194">
        <v>946</v>
      </c>
      <c r="B194" t="s">
        <v>182</v>
      </c>
      <c r="C194" s="534"/>
      <c r="D194" s="534"/>
      <c r="E194" s="534"/>
      <c r="F194" s="534"/>
      <c r="G194" s="534"/>
      <c r="H194" s="534"/>
      <c r="I194" s="534"/>
      <c r="J194" s="534"/>
      <c r="K194" s="534"/>
      <c r="L194" s="534"/>
      <c r="M194" s="534"/>
      <c r="V194" s="23">
        <v>2.8200000000000001E-6</v>
      </c>
      <c r="W194" s="23">
        <v>2.79E-6</v>
      </c>
      <c r="X194" s="23">
        <v>2.7700000000000002E-6</v>
      </c>
      <c r="Y194" s="23">
        <v>2.3599999999999999E-6</v>
      </c>
      <c r="Z194" s="23">
        <v>2.39E-6</v>
      </c>
      <c r="AA194" s="23">
        <v>2.3800000000000001E-6</v>
      </c>
      <c r="AB194" s="23">
        <v>2.4099999999999998E-6</v>
      </c>
      <c r="AC194" s="23">
        <v>2.43E-6</v>
      </c>
      <c r="AD194" s="23">
        <v>2.4200000000000001E-6</v>
      </c>
    </row>
    <row r="195" spans="1:30" s="21" customFormat="1">
      <c r="A195" s="21">
        <v>947</v>
      </c>
      <c r="B195" s="21" t="s">
        <v>183</v>
      </c>
      <c r="C195" s="534"/>
      <c r="D195" s="534"/>
      <c r="E195" s="534"/>
      <c r="F195" s="534"/>
      <c r="G195" s="534"/>
      <c r="H195" s="534"/>
      <c r="I195" s="534"/>
      <c r="J195" s="534"/>
      <c r="K195" s="534"/>
      <c r="L195" s="534"/>
      <c r="M195" s="534"/>
      <c r="V195" s="23"/>
      <c r="W195" s="23">
        <v>3.0499999999999999E-7</v>
      </c>
      <c r="X195" s="23">
        <v>2.48E-7</v>
      </c>
      <c r="Y195" s="23">
        <v>2.4600000000000001E-7</v>
      </c>
      <c r="Z195" s="23">
        <v>2.4299999999999999E-7</v>
      </c>
      <c r="AA195" s="23">
        <v>2.6600000000000003E-7</v>
      </c>
      <c r="AB195" s="23">
        <v>2.6300000000000001E-7</v>
      </c>
      <c r="AC195" s="23">
        <v>2.6E-7</v>
      </c>
      <c r="AD195" s="23">
        <v>2.5600000000000002E-7</v>
      </c>
    </row>
    <row r="196" spans="1:30">
      <c r="A196">
        <v>950</v>
      </c>
      <c r="B196" t="s">
        <v>184</v>
      </c>
      <c r="C196" s="23">
        <v>6.4599999999999998E-5</v>
      </c>
      <c r="D196" s="23">
        <v>6.5400000000000004E-5</v>
      </c>
      <c r="E196" s="23">
        <v>6.6199999999999996E-5</v>
      </c>
      <c r="F196" s="23">
        <v>6.5400000000000004E-5</v>
      </c>
      <c r="G196" s="23">
        <v>7.1400000000000001E-5</v>
      </c>
      <c r="H196" s="23">
        <v>7.6000000000000004E-5</v>
      </c>
      <c r="I196" s="534">
        <v>6.9099999999999999E-5</v>
      </c>
      <c r="J196" s="534">
        <v>6.8300000000000007E-5</v>
      </c>
      <c r="K196" s="534">
        <v>7.5400000000000003E-5</v>
      </c>
      <c r="L196" s="534">
        <v>7.8700000000000002E-5</v>
      </c>
      <c r="M196" s="534">
        <v>8.2999999999999998E-5</v>
      </c>
      <c r="N196">
        <v>8.9599999999999996E-5</v>
      </c>
      <c r="O196">
        <v>8.7999999999999998E-5</v>
      </c>
      <c r="P196">
        <v>8.9900000000000003E-5</v>
      </c>
      <c r="Q196">
        <v>8.4499999999999994E-5</v>
      </c>
      <c r="R196">
        <v>8.6399999999999999E-5</v>
      </c>
      <c r="S196">
        <v>8.6299999999999997E-5</v>
      </c>
      <c r="T196">
        <v>8.5500000000000005E-5</v>
      </c>
      <c r="U196">
        <v>8.2299999999999995E-5</v>
      </c>
      <c r="V196">
        <v>8.2700000000000004E-5</v>
      </c>
      <c r="W196">
        <v>8.1600000000000005E-5</v>
      </c>
      <c r="X196" s="21">
        <v>8.1500000000000002E-5</v>
      </c>
      <c r="Y196">
        <v>8.1199999999999995E-5</v>
      </c>
      <c r="Z196" s="21">
        <v>7.8899999999999993E-5</v>
      </c>
      <c r="AA196" s="21">
        <v>7.5500000000000006E-5</v>
      </c>
      <c r="AB196" s="21">
        <v>7.4300000000000004E-5</v>
      </c>
      <c r="AC196">
        <v>8.0900000000000001E-5</v>
      </c>
      <c r="AD196" s="21">
        <v>8.1199999999999995E-5</v>
      </c>
    </row>
    <row r="197" spans="1:30" s="21" customFormat="1">
      <c r="A197">
        <v>955</v>
      </c>
      <c r="B197" t="s">
        <v>185</v>
      </c>
      <c r="C197" s="534"/>
      <c r="D197" s="534"/>
      <c r="E197" s="534"/>
      <c r="F197" s="534"/>
      <c r="G197" s="534"/>
      <c r="H197" s="534"/>
      <c r="I197" s="534"/>
      <c r="J197" s="534"/>
      <c r="K197" s="534"/>
      <c r="L197" s="534"/>
      <c r="M197" s="534"/>
      <c r="V197" s="23">
        <v>3.72E-6</v>
      </c>
      <c r="W197" s="23">
        <v>3.67E-6</v>
      </c>
      <c r="X197" s="23">
        <v>3.36E-6</v>
      </c>
      <c r="Y197" s="23">
        <v>2.7599999999999998E-6</v>
      </c>
      <c r="Z197" s="23">
        <v>2.7300000000000001E-6</v>
      </c>
      <c r="AA197" s="23">
        <v>2.7199999999999998E-6</v>
      </c>
      <c r="AB197" s="23">
        <v>2.6900000000000001E-6</v>
      </c>
      <c r="AC197" s="23">
        <v>2.6800000000000002E-6</v>
      </c>
      <c r="AD197" s="23">
        <v>2.6400000000000001E-6</v>
      </c>
    </row>
    <row r="198" spans="1:30" s="21" customFormat="1">
      <c r="A198" s="21">
        <v>970</v>
      </c>
      <c r="B198" s="21" t="s">
        <v>186</v>
      </c>
      <c r="C198" s="534"/>
      <c r="D198" s="534"/>
      <c r="E198" s="534"/>
      <c r="F198" s="534"/>
      <c r="G198" s="534"/>
      <c r="H198" s="534"/>
      <c r="I198" s="534"/>
      <c r="J198" s="534"/>
      <c r="K198" s="534"/>
      <c r="L198" s="534"/>
      <c r="M198" s="534"/>
      <c r="V198" s="23">
        <v>3.9200000000000002E-7</v>
      </c>
      <c r="W198" s="23">
        <v>3.8599999999999999E-7</v>
      </c>
      <c r="X198" s="23">
        <v>3.53E-7</v>
      </c>
      <c r="Y198" s="23">
        <v>3.4799999999999999E-7</v>
      </c>
      <c r="Z198" s="23">
        <v>3.7099999999999997E-7</v>
      </c>
      <c r="AA198" s="23">
        <v>3.6600000000000002E-7</v>
      </c>
      <c r="AB198" s="23">
        <v>3.6199999999999999E-7</v>
      </c>
      <c r="AC198" s="23">
        <v>3.58E-7</v>
      </c>
      <c r="AD198" s="23">
        <v>3.7899999999999999E-7</v>
      </c>
    </row>
    <row r="199" spans="1:30">
      <c r="A199">
        <v>983</v>
      </c>
      <c r="B199" t="s">
        <v>187</v>
      </c>
      <c r="N199" s="23">
        <v>1.5600000000000001E-6</v>
      </c>
      <c r="O199" s="23">
        <v>1.61E-6</v>
      </c>
      <c r="P199" s="23">
        <v>1.6500000000000001E-6</v>
      </c>
      <c r="Q199" s="23">
        <v>1.68E-6</v>
      </c>
      <c r="R199" s="23">
        <v>1.72E-6</v>
      </c>
      <c r="S199" s="23">
        <v>1.73E-6</v>
      </c>
      <c r="T199" s="23">
        <v>1.8199999999999999E-6</v>
      </c>
      <c r="U199" s="23">
        <v>1.77E-6</v>
      </c>
      <c r="V199" s="23">
        <v>1.7999999999999999E-6</v>
      </c>
      <c r="W199" s="23">
        <v>1.84E-6</v>
      </c>
      <c r="X199" s="23">
        <v>1.5799999999999999E-6</v>
      </c>
      <c r="Y199" s="23">
        <v>1.6199999999999999E-6</v>
      </c>
      <c r="Z199" s="23">
        <v>1.57E-6</v>
      </c>
      <c r="AA199" s="23">
        <v>1.5200000000000001E-6</v>
      </c>
      <c r="AB199" s="23">
        <v>1.48E-6</v>
      </c>
      <c r="AC199" s="23">
        <v>1.4100000000000001E-6</v>
      </c>
      <c r="AD199" s="23">
        <v>1.42E-6</v>
      </c>
    </row>
    <row r="200" spans="1:30" s="21" customFormat="1">
      <c r="A200">
        <v>986</v>
      </c>
      <c r="B200" t="s">
        <v>188</v>
      </c>
      <c r="C200" s="534"/>
      <c r="D200" s="534"/>
      <c r="E200" s="534"/>
      <c r="F200" s="534"/>
      <c r="G200" s="534"/>
      <c r="H200" s="534"/>
      <c r="I200" s="534"/>
      <c r="J200" s="534"/>
      <c r="K200" s="534"/>
      <c r="L200" s="534"/>
      <c r="M200" s="534"/>
      <c r="N200" s="23"/>
      <c r="O200" s="23"/>
      <c r="P200" s="23"/>
      <c r="Q200" s="23">
        <v>6.1600000000000001E-7</v>
      </c>
      <c r="R200" s="23">
        <v>6.3499999999999996E-7</v>
      </c>
      <c r="S200" s="23">
        <v>6.2399999999999998E-7</v>
      </c>
      <c r="T200" s="23">
        <v>6.1500000000000004E-7</v>
      </c>
      <c r="U200" s="23">
        <v>6.6499999999999999E-7</v>
      </c>
      <c r="V200" s="23">
        <v>6.5099999999999999E-7</v>
      </c>
      <c r="W200" s="23">
        <v>6.4600000000000004E-7</v>
      </c>
      <c r="X200" s="23">
        <v>6.6899999999999997E-7</v>
      </c>
      <c r="Y200" s="23">
        <v>6.5899999999999996E-7</v>
      </c>
      <c r="Z200" s="23">
        <v>6.4700000000000001E-7</v>
      </c>
      <c r="AA200" s="23">
        <v>6.61E-7</v>
      </c>
      <c r="AB200" s="23">
        <v>6.8199999999999999E-7</v>
      </c>
      <c r="AC200" s="23">
        <v>6.8500000000000001E-7</v>
      </c>
      <c r="AD200" s="23">
        <v>6.5199999999999996E-7</v>
      </c>
    </row>
    <row r="201" spans="1:30">
      <c r="A201">
        <v>987</v>
      </c>
      <c r="B201" t="s">
        <v>189</v>
      </c>
      <c r="N201" s="23">
        <v>4.1699999999999999E-6</v>
      </c>
      <c r="O201" s="23">
        <v>4.2100000000000003E-6</v>
      </c>
      <c r="P201" s="23">
        <v>4.2599999999999999E-6</v>
      </c>
      <c r="Q201" s="23">
        <v>3.72E-6</v>
      </c>
      <c r="R201" s="23">
        <v>3.7000000000000002E-6</v>
      </c>
      <c r="S201" s="23">
        <v>3.6500000000000002E-6</v>
      </c>
      <c r="T201" s="23">
        <v>3.72E-6</v>
      </c>
      <c r="U201" s="23">
        <v>3.2200000000000001E-6</v>
      </c>
      <c r="V201" s="23">
        <v>3.4199999999999999E-6</v>
      </c>
      <c r="W201" s="23">
        <v>3.45E-6</v>
      </c>
      <c r="X201" s="23">
        <v>3.3799999999999998E-6</v>
      </c>
      <c r="Y201" s="23">
        <v>3.41E-6</v>
      </c>
      <c r="Z201" s="23">
        <v>3.05E-6</v>
      </c>
      <c r="AA201" s="23">
        <v>3.0299999999999998E-6</v>
      </c>
      <c r="AB201" s="23">
        <v>2.9900000000000002E-6</v>
      </c>
      <c r="AC201" s="23">
        <v>2.9799999999999998E-6</v>
      </c>
      <c r="AD201" s="23">
        <v>2.9399999999999998E-6</v>
      </c>
    </row>
    <row r="202" spans="1:30">
      <c r="A202">
        <v>990</v>
      </c>
      <c r="B202" t="s">
        <v>190</v>
      </c>
      <c r="C202" s="23">
        <v>6.28E-6</v>
      </c>
      <c r="D202" s="23">
        <v>6.2400000000000004E-6</v>
      </c>
      <c r="E202" s="23">
        <v>6.1299999999999998E-6</v>
      </c>
      <c r="F202" s="23">
        <v>6.02E-6</v>
      </c>
      <c r="G202" s="23">
        <v>5.84E-6</v>
      </c>
      <c r="H202" s="23">
        <v>5.7300000000000002E-6</v>
      </c>
      <c r="I202" s="23">
        <v>5.6300000000000003E-6</v>
      </c>
      <c r="J202" s="23">
        <v>5.5600000000000001E-6</v>
      </c>
      <c r="K202" s="23">
        <v>5.5899999999999998E-6</v>
      </c>
      <c r="L202" s="23">
        <v>5.5500000000000002E-6</v>
      </c>
      <c r="M202" s="23">
        <v>5.4099999999999999E-6</v>
      </c>
      <c r="N202" s="23">
        <v>5.31E-6</v>
      </c>
      <c r="O202" s="23">
        <v>5.2399999999999998E-6</v>
      </c>
      <c r="P202" s="23">
        <v>5.1900000000000003E-6</v>
      </c>
      <c r="Q202" s="23">
        <v>5.1699999999999996E-6</v>
      </c>
      <c r="R202" s="23">
        <v>5.1200000000000001E-6</v>
      </c>
      <c r="S202" s="23">
        <v>5.0799999999999996E-6</v>
      </c>
      <c r="T202" s="23">
        <v>5.0799999999999996E-6</v>
      </c>
      <c r="U202" s="23">
        <v>5.1900000000000003E-6</v>
      </c>
      <c r="V202" s="23">
        <v>5.2100000000000001E-6</v>
      </c>
      <c r="W202" s="23">
        <v>5.2399999999999998E-6</v>
      </c>
      <c r="X202" s="23">
        <v>5.2100000000000001E-6</v>
      </c>
      <c r="Y202" s="23">
        <v>5.1200000000000001E-6</v>
      </c>
      <c r="Z202" s="23">
        <v>5.0799999999999996E-6</v>
      </c>
      <c r="AA202" s="23">
        <v>5.0499999999999999E-6</v>
      </c>
      <c r="AB202" s="23">
        <v>5.0100000000000003E-6</v>
      </c>
      <c r="AC202" s="23">
        <v>5.0100000000000003E-6</v>
      </c>
      <c r="AD202" s="23">
        <v>4.9899999999999997E-6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0"/>
  <sheetViews>
    <sheetView topLeftCell="O1" workbookViewId="0">
      <selection activeCell="L196" sqref="L196"/>
    </sheetView>
  </sheetViews>
  <sheetFormatPr defaultRowHeight="15"/>
  <cols>
    <col min="3" max="13" width="9.140625" style="534"/>
  </cols>
  <sheetData>
    <row r="1" spans="1:33">
      <c r="A1" s="12" t="s">
        <v>414</v>
      </c>
    </row>
    <row r="2" spans="1:33">
      <c r="A2" s="1" t="s">
        <v>415</v>
      </c>
    </row>
    <row r="3" spans="1:33">
      <c r="A3" s="21" t="s">
        <v>416</v>
      </c>
    </row>
    <row r="5" spans="1:33">
      <c r="A5" s="21" t="s">
        <v>191</v>
      </c>
      <c r="B5" s="21" t="s">
        <v>192</v>
      </c>
      <c r="C5" s="534">
        <v>1980</v>
      </c>
      <c r="D5" s="534">
        <v>1981</v>
      </c>
      <c r="E5" s="534">
        <v>1982</v>
      </c>
      <c r="F5" s="534">
        <v>1983</v>
      </c>
      <c r="G5" s="534">
        <v>1984</v>
      </c>
      <c r="H5" s="534">
        <v>1985</v>
      </c>
      <c r="I5" s="534">
        <v>1986</v>
      </c>
      <c r="J5" s="534">
        <v>1987</v>
      </c>
      <c r="K5" s="534">
        <v>1988</v>
      </c>
      <c r="L5" s="534">
        <v>1989</v>
      </c>
      <c r="M5" s="534">
        <v>1990</v>
      </c>
      <c r="N5" s="21">
        <v>1991</v>
      </c>
      <c r="O5" s="21">
        <v>1992</v>
      </c>
      <c r="P5" s="21">
        <v>1993</v>
      </c>
      <c r="Q5" s="21">
        <v>1994</v>
      </c>
      <c r="R5" s="21">
        <v>1995</v>
      </c>
      <c r="S5" s="21">
        <v>1996</v>
      </c>
      <c r="T5" s="21">
        <v>1997</v>
      </c>
      <c r="U5" s="21">
        <v>1998</v>
      </c>
      <c r="V5" s="21">
        <v>1999</v>
      </c>
      <c r="W5" s="21">
        <v>2000</v>
      </c>
      <c r="X5" s="21">
        <v>2001</v>
      </c>
      <c r="Y5" s="21">
        <v>2002</v>
      </c>
      <c r="Z5" s="21">
        <v>2003</v>
      </c>
      <c r="AA5" s="21">
        <v>2004</v>
      </c>
      <c r="AB5" s="21">
        <v>2005</v>
      </c>
      <c r="AC5" s="21">
        <v>2006</v>
      </c>
      <c r="AD5" s="21">
        <v>2007</v>
      </c>
      <c r="AE5">
        <v>2008</v>
      </c>
      <c r="AF5">
        <v>2009</v>
      </c>
      <c r="AG5">
        <v>2010</v>
      </c>
    </row>
    <row r="6" spans="1:33">
      <c r="A6">
        <v>2</v>
      </c>
      <c r="B6" t="s">
        <v>0</v>
      </c>
      <c r="C6" s="534">
        <v>10</v>
      </c>
      <c r="D6" s="534">
        <v>10</v>
      </c>
      <c r="E6" s="534">
        <v>10</v>
      </c>
      <c r="F6" s="534">
        <v>10</v>
      </c>
      <c r="G6" s="534">
        <v>10</v>
      </c>
      <c r="H6" s="534">
        <v>10</v>
      </c>
      <c r="I6" s="534">
        <v>10</v>
      </c>
      <c r="J6" s="534">
        <v>10</v>
      </c>
      <c r="K6" s="534">
        <v>10</v>
      </c>
      <c r="L6" s="534">
        <v>10</v>
      </c>
      <c r="M6" s="534">
        <v>10</v>
      </c>
      <c r="N6" s="38">
        <v>10</v>
      </c>
      <c r="O6" s="38">
        <v>10</v>
      </c>
      <c r="P6" s="38">
        <v>10</v>
      </c>
      <c r="Q6" s="38">
        <v>10</v>
      </c>
      <c r="R6" s="38">
        <v>10</v>
      </c>
      <c r="S6" s="38">
        <v>10</v>
      </c>
      <c r="T6" s="38">
        <v>10</v>
      </c>
      <c r="U6" s="38">
        <v>10</v>
      </c>
      <c r="V6" s="38">
        <v>10</v>
      </c>
      <c r="W6" s="38">
        <v>10</v>
      </c>
      <c r="X6" s="38">
        <v>10</v>
      </c>
      <c r="Y6" s="38">
        <v>10</v>
      </c>
      <c r="Z6" s="38">
        <v>10</v>
      </c>
      <c r="AA6" s="38">
        <v>10</v>
      </c>
      <c r="AB6" s="38">
        <v>10</v>
      </c>
      <c r="AC6" s="38">
        <v>10</v>
      </c>
      <c r="AD6" s="38">
        <v>10</v>
      </c>
      <c r="AE6" s="38">
        <v>10</v>
      </c>
      <c r="AF6" s="38">
        <v>10</v>
      </c>
      <c r="AG6" s="38">
        <v>10</v>
      </c>
    </row>
    <row r="7" spans="1:33">
      <c r="A7">
        <v>20</v>
      </c>
      <c r="B7" t="s">
        <v>1</v>
      </c>
      <c r="C7" s="534">
        <v>10</v>
      </c>
      <c r="D7" s="534">
        <v>10</v>
      </c>
      <c r="E7" s="534">
        <v>10</v>
      </c>
      <c r="F7" s="534">
        <v>10</v>
      </c>
      <c r="G7" s="534">
        <v>10</v>
      </c>
      <c r="H7" s="534">
        <v>10</v>
      </c>
      <c r="I7" s="534">
        <v>10</v>
      </c>
      <c r="J7" s="534">
        <v>10</v>
      </c>
      <c r="K7" s="534">
        <v>10</v>
      </c>
      <c r="L7" s="534">
        <v>10</v>
      </c>
      <c r="M7" s="534">
        <v>10</v>
      </c>
      <c r="N7" s="39">
        <v>10</v>
      </c>
      <c r="O7" s="39">
        <v>10</v>
      </c>
      <c r="P7" s="39">
        <v>10</v>
      </c>
      <c r="Q7" s="39">
        <v>10</v>
      </c>
      <c r="R7" s="39">
        <v>10</v>
      </c>
      <c r="S7" s="39">
        <v>10</v>
      </c>
      <c r="T7" s="39">
        <v>10</v>
      </c>
      <c r="U7" s="39">
        <v>10</v>
      </c>
      <c r="V7" s="39">
        <v>10</v>
      </c>
      <c r="W7" s="39">
        <v>10</v>
      </c>
      <c r="X7" s="39">
        <v>10</v>
      </c>
      <c r="Y7" s="39">
        <v>10</v>
      </c>
      <c r="Z7" s="39">
        <v>10</v>
      </c>
      <c r="AA7" s="39">
        <v>10</v>
      </c>
      <c r="AB7" s="39">
        <v>10</v>
      </c>
      <c r="AC7" s="39">
        <v>10</v>
      </c>
      <c r="AD7" s="39">
        <v>10</v>
      </c>
      <c r="AE7" s="39">
        <v>10</v>
      </c>
      <c r="AF7" s="39">
        <v>10</v>
      </c>
      <c r="AG7" s="39">
        <v>10</v>
      </c>
    </row>
    <row r="8" spans="1:33">
      <c r="A8">
        <v>31</v>
      </c>
      <c r="B8" t="s">
        <v>2</v>
      </c>
    </row>
    <row r="9" spans="1:33">
      <c r="A9">
        <v>40</v>
      </c>
      <c r="B9" t="s">
        <v>3</v>
      </c>
      <c r="C9" s="534">
        <v>-7</v>
      </c>
      <c r="D9" s="534">
        <v>-7</v>
      </c>
      <c r="E9" s="534">
        <v>-7</v>
      </c>
      <c r="F9" s="534">
        <v>-7</v>
      </c>
      <c r="G9" s="534">
        <v>-7</v>
      </c>
      <c r="H9" s="534">
        <v>-7</v>
      </c>
      <c r="I9" s="534">
        <v>-7</v>
      </c>
      <c r="J9" s="534">
        <v>-7</v>
      </c>
      <c r="K9" s="534">
        <v>-7</v>
      </c>
      <c r="L9" s="534">
        <v>-7</v>
      </c>
      <c r="M9" s="534">
        <v>-7</v>
      </c>
      <c r="N9" s="40">
        <v>-7</v>
      </c>
      <c r="O9" s="40">
        <v>-7</v>
      </c>
      <c r="P9" s="40">
        <v>-7</v>
      </c>
      <c r="Q9" s="40">
        <v>-7</v>
      </c>
      <c r="R9" s="40">
        <v>-7</v>
      </c>
      <c r="S9" s="40">
        <v>-7</v>
      </c>
      <c r="T9" s="40">
        <v>-7</v>
      </c>
      <c r="U9" s="40">
        <v>-7</v>
      </c>
      <c r="V9" s="40">
        <v>-7</v>
      </c>
      <c r="W9" s="40">
        <v>-7</v>
      </c>
      <c r="X9" s="40">
        <v>-7</v>
      </c>
      <c r="Y9" s="40">
        <v>-7</v>
      </c>
      <c r="Z9" s="40">
        <v>-7</v>
      </c>
      <c r="AA9" s="40">
        <v>-7</v>
      </c>
      <c r="AB9" s="40">
        <v>-7</v>
      </c>
      <c r="AC9" s="40">
        <v>-7</v>
      </c>
      <c r="AD9" s="40">
        <v>-7</v>
      </c>
      <c r="AE9" s="40">
        <v>-7</v>
      </c>
      <c r="AF9" s="40">
        <v>-7</v>
      </c>
      <c r="AG9" s="40">
        <v>-7</v>
      </c>
    </row>
    <row r="10" spans="1:33">
      <c r="A10">
        <v>41</v>
      </c>
      <c r="B10" t="s">
        <v>4</v>
      </c>
      <c r="C10" s="534">
        <v>-9</v>
      </c>
      <c r="D10" s="534">
        <v>-9</v>
      </c>
      <c r="E10" s="534">
        <v>-9</v>
      </c>
      <c r="F10" s="534">
        <v>-9</v>
      </c>
      <c r="G10" s="534">
        <v>-9</v>
      </c>
      <c r="H10" s="534">
        <v>-9</v>
      </c>
      <c r="I10" s="534">
        <v>-8</v>
      </c>
      <c r="J10" s="534">
        <v>-8</v>
      </c>
      <c r="K10" s="534">
        <v>-7</v>
      </c>
      <c r="L10" s="534">
        <v>-6</v>
      </c>
      <c r="M10" s="534">
        <v>7</v>
      </c>
      <c r="N10" s="41">
        <v>-7</v>
      </c>
      <c r="O10" s="41">
        <v>-7</v>
      </c>
      <c r="P10" s="41">
        <v>-7</v>
      </c>
      <c r="Q10" s="41">
        <v>7</v>
      </c>
      <c r="R10" s="41">
        <v>7</v>
      </c>
      <c r="S10" s="41">
        <v>7</v>
      </c>
      <c r="T10" s="41">
        <v>7</v>
      </c>
      <c r="U10" s="41">
        <v>7</v>
      </c>
      <c r="V10" s="41">
        <v>2</v>
      </c>
      <c r="W10" s="41">
        <v>-2</v>
      </c>
      <c r="X10" s="41">
        <v>-2</v>
      </c>
      <c r="Y10" s="41">
        <v>-2</v>
      </c>
      <c r="Z10" s="41">
        <v>-2</v>
      </c>
      <c r="AA10" s="41">
        <v>0</v>
      </c>
      <c r="AB10" s="41">
        <v>3</v>
      </c>
      <c r="AC10" s="41">
        <v>5</v>
      </c>
      <c r="AD10" s="41">
        <v>5</v>
      </c>
      <c r="AE10" s="41">
        <v>5</v>
      </c>
      <c r="AF10" s="41">
        <v>5</v>
      </c>
      <c r="AG10" s="41">
        <v>0</v>
      </c>
    </row>
    <row r="11" spans="1:33">
      <c r="A11">
        <v>42</v>
      </c>
      <c r="B11" t="s">
        <v>5</v>
      </c>
      <c r="C11" s="534">
        <v>6</v>
      </c>
      <c r="D11" s="534">
        <v>6</v>
      </c>
      <c r="E11" s="534">
        <v>6</v>
      </c>
      <c r="F11" s="534">
        <v>6</v>
      </c>
      <c r="G11" s="534">
        <v>6</v>
      </c>
      <c r="H11" s="534">
        <v>6</v>
      </c>
      <c r="I11" s="534">
        <v>6</v>
      </c>
      <c r="J11" s="534">
        <v>6</v>
      </c>
      <c r="K11" s="534">
        <v>6</v>
      </c>
      <c r="L11" s="534">
        <v>6</v>
      </c>
      <c r="M11" s="534">
        <v>6</v>
      </c>
      <c r="N11" s="42">
        <v>6</v>
      </c>
      <c r="O11" s="42">
        <v>6</v>
      </c>
      <c r="P11" s="42">
        <v>6</v>
      </c>
      <c r="Q11" s="42">
        <v>5</v>
      </c>
      <c r="R11" s="42">
        <v>5</v>
      </c>
      <c r="S11" s="42">
        <v>8</v>
      </c>
      <c r="T11" s="42">
        <v>8</v>
      </c>
      <c r="U11" s="42">
        <v>8</v>
      </c>
      <c r="V11" s="42">
        <v>8</v>
      </c>
      <c r="W11" s="42">
        <v>8</v>
      </c>
      <c r="X11" s="42">
        <v>8</v>
      </c>
      <c r="Y11" s="42">
        <v>8</v>
      </c>
      <c r="Z11" s="42">
        <v>8</v>
      </c>
      <c r="AA11" s="42">
        <v>8</v>
      </c>
      <c r="AB11" s="42">
        <v>8</v>
      </c>
      <c r="AC11" s="42">
        <v>8</v>
      </c>
      <c r="AD11" s="42">
        <v>8</v>
      </c>
      <c r="AE11" s="42">
        <v>8</v>
      </c>
      <c r="AF11" s="42">
        <v>8</v>
      </c>
      <c r="AG11" s="42">
        <v>8</v>
      </c>
    </row>
    <row r="12" spans="1:33">
      <c r="A12">
        <v>51</v>
      </c>
      <c r="B12" t="s">
        <v>6</v>
      </c>
      <c r="C12" s="534">
        <v>10</v>
      </c>
      <c r="D12" s="534">
        <v>10</v>
      </c>
      <c r="E12" s="534">
        <v>10</v>
      </c>
      <c r="F12" s="534">
        <v>10</v>
      </c>
      <c r="G12" s="534">
        <v>10</v>
      </c>
      <c r="H12" s="534">
        <v>10</v>
      </c>
      <c r="I12" s="534">
        <v>10</v>
      </c>
      <c r="J12" s="534">
        <v>10</v>
      </c>
      <c r="K12" s="534">
        <v>10</v>
      </c>
      <c r="L12" s="534">
        <v>10</v>
      </c>
      <c r="M12" s="534">
        <v>10</v>
      </c>
      <c r="N12" s="43">
        <v>10</v>
      </c>
      <c r="O12" s="43">
        <v>10</v>
      </c>
      <c r="P12" s="43">
        <v>9</v>
      </c>
      <c r="Q12" s="43">
        <v>9</v>
      </c>
      <c r="R12" s="43">
        <v>9</v>
      </c>
      <c r="S12" s="43">
        <v>9</v>
      </c>
      <c r="T12" s="43">
        <v>9</v>
      </c>
      <c r="U12" s="43">
        <v>9</v>
      </c>
      <c r="V12" s="43">
        <v>9</v>
      </c>
      <c r="W12" s="43">
        <v>9</v>
      </c>
      <c r="X12" s="43">
        <v>9</v>
      </c>
      <c r="Y12" s="43">
        <v>9</v>
      </c>
      <c r="Z12" s="43">
        <v>9</v>
      </c>
      <c r="AA12" s="43">
        <v>9</v>
      </c>
      <c r="AB12" s="43">
        <v>9</v>
      </c>
      <c r="AC12" s="43">
        <v>9</v>
      </c>
      <c r="AD12" s="43">
        <v>9</v>
      </c>
      <c r="AE12" s="43">
        <v>9</v>
      </c>
      <c r="AF12" s="43">
        <v>9</v>
      </c>
      <c r="AG12" s="43">
        <v>9</v>
      </c>
    </row>
    <row r="13" spans="1:33">
      <c r="A13">
        <v>52</v>
      </c>
      <c r="B13" t="s">
        <v>7</v>
      </c>
      <c r="C13" s="534">
        <v>8</v>
      </c>
      <c r="D13" s="534">
        <v>8</v>
      </c>
      <c r="E13" s="534">
        <v>8</v>
      </c>
      <c r="F13" s="534">
        <v>8</v>
      </c>
      <c r="G13" s="534">
        <v>9</v>
      </c>
      <c r="H13" s="534">
        <v>9</v>
      </c>
      <c r="I13" s="534">
        <v>9</v>
      </c>
      <c r="J13" s="534">
        <v>9</v>
      </c>
      <c r="K13" s="534">
        <v>9</v>
      </c>
      <c r="L13" s="534">
        <v>9</v>
      </c>
      <c r="M13" s="534">
        <v>9</v>
      </c>
      <c r="N13" s="44">
        <v>9</v>
      </c>
      <c r="O13" s="44">
        <v>9</v>
      </c>
      <c r="P13" s="44">
        <v>9</v>
      </c>
      <c r="Q13" s="44">
        <v>9</v>
      </c>
      <c r="R13" s="44">
        <v>9</v>
      </c>
      <c r="S13" s="44">
        <v>9</v>
      </c>
      <c r="T13" s="44">
        <v>10</v>
      </c>
      <c r="U13" s="44">
        <v>10</v>
      </c>
      <c r="V13" s="44">
        <v>10</v>
      </c>
      <c r="W13" s="44">
        <v>10</v>
      </c>
      <c r="X13" s="44">
        <v>10</v>
      </c>
      <c r="Y13" s="44">
        <v>10</v>
      </c>
      <c r="Z13" s="44">
        <v>10</v>
      </c>
      <c r="AA13" s="44">
        <v>10</v>
      </c>
      <c r="AB13" s="44">
        <v>10</v>
      </c>
      <c r="AC13" s="44">
        <v>10</v>
      </c>
      <c r="AD13" s="44">
        <v>10</v>
      </c>
      <c r="AE13" s="44">
        <v>10</v>
      </c>
      <c r="AF13" s="44">
        <v>10</v>
      </c>
      <c r="AG13" s="44">
        <v>10</v>
      </c>
    </row>
    <row r="14" spans="1:33">
      <c r="A14">
        <v>53</v>
      </c>
      <c r="B14" t="s">
        <v>8</v>
      </c>
    </row>
    <row r="15" spans="1:33">
      <c r="A15">
        <v>54</v>
      </c>
      <c r="B15" t="s">
        <v>9</v>
      </c>
    </row>
    <row r="16" spans="1:33">
      <c r="A16">
        <v>55</v>
      </c>
      <c r="B16" t="s">
        <v>10</v>
      </c>
    </row>
    <row r="17" spans="1:33">
      <c r="A17">
        <v>56</v>
      </c>
      <c r="B17" t="s">
        <v>11</v>
      </c>
    </row>
    <row r="18" spans="1:33">
      <c r="A18">
        <v>57</v>
      </c>
      <c r="B18" t="s">
        <v>12</v>
      </c>
    </row>
    <row r="19" spans="1:33">
      <c r="A19">
        <v>58</v>
      </c>
      <c r="B19" t="s">
        <v>13</v>
      </c>
    </row>
    <row r="20" spans="1:33">
      <c r="A20">
        <v>60</v>
      </c>
      <c r="B20" t="s">
        <v>14</v>
      </c>
    </row>
    <row r="21" spans="1:33">
      <c r="A21">
        <v>70</v>
      </c>
      <c r="B21" t="s">
        <v>15</v>
      </c>
      <c r="C21" s="534">
        <v>-3</v>
      </c>
      <c r="D21" s="534">
        <v>-3</v>
      </c>
      <c r="E21" s="534">
        <v>-3</v>
      </c>
      <c r="F21" s="534">
        <v>-3</v>
      </c>
      <c r="G21" s="534">
        <v>-3</v>
      </c>
      <c r="H21" s="534">
        <v>-3</v>
      </c>
      <c r="I21" s="534">
        <v>-3</v>
      </c>
      <c r="J21" s="534">
        <v>-3</v>
      </c>
      <c r="K21" s="534">
        <v>0</v>
      </c>
      <c r="L21" s="534">
        <v>0</v>
      </c>
      <c r="M21" s="534">
        <v>0</v>
      </c>
      <c r="N21" s="45">
        <v>0</v>
      </c>
      <c r="O21" s="45">
        <v>0</v>
      </c>
      <c r="P21" s="45">
        <v>0</v>
      </c>
      <c r="Q21" s="45">
        <v>4</v>
      </c>
      <c r="R21" s="45">
        <v>4</v>
      </c>
      <c r="S21" s="45">
        <v>4</v>
      </c>
      <c r="T21" s="45">
        <v>6</v>
      </c>
      <c r="U21" s="45">
        <v>6</v>
      </c>
      <c r="V21" s="45">
        <v>6</v>
      </c>
      <c r="W21" s="45">
        <v>8</v>
      </c>
      <c r="X21" s="45">
        <v>8</v>
      </c>
      <c r="Y21" s="45">
        <v>8</v>
      </c>
      <c r="Z21" s="45">
        <v>8</v>
      </c>
      <c r="AA21" s="45">
        <v>8</v>
      </c>
      <c r="AB21" s="45">
        <v>8</v>
      </c>
      <c r="AC21" s="45">
        <v>8</v>
      </c>
      <c r="AD21" s="45">
        <v>8</v>
      </c>
      <c r="AE21" s="45">
        <v>8</v>
      </c>
      <c r="AF21" s="45">
        <v>8</v>
      </c>
      <c r="AG21" s="45">
        <v>8</v>
      </c>
    </row>
    <row r="22" spans="1:33">
      <c r="A22">
        <v>80</v>
      </c>
      <c r="B22" t="s">
        <v>16</v>
      </c>
    </row>
    <row r="23" spans="1:33">
      <c r="A23">
        <v>90</v>
      </c>
      <c r="B23" t="s">
        <v>17</v>
      </c>
      <c r="C23" s="534">
        <v>-5</v>
      </c>
      <c r="D23" s="534">
        <v>-5</v>
      </c>
      <c r="E23" s="534">
        <v>-7</v>
      </c>
      <c r="F23" s="534">
        <v>-7</v>
      </c>
      <c r="G23" s="534">
        <v>-6</v>
      </c>
      <c r="H23" s="534">
        <v>-1</v>
      </c>
      <c r="I23" s="534">
        <v>3</v>
      </c>
      <c r="J23" s="534">
        <v>3</v>
      </c>
      <c r="K23" s="534">
        <v>3</v>
      </c>
      <c r="L23" s="534">
        <v>3</v>
      </c>
      <c r="M23" s="534">
        <v>3</v>
      </c>
      <c r="N23" s="46">
        <v>3</v>
      </c>
      <c r="O23" s="46">
        <v>3</v>
      </c>
      <c r="P23" s="46">
        <v>3</v>
      </c>
      <c r="Q23" s="46">
        <v>3</v>
      </c>
      <c r="R23" s="46">
        <v>3</v>
      </c>
      <c r="S23" s="46">
        <v>8</v>
      </c>
      <c r="T23" s="46">
        <v>8</v>
      </c>
      <c r="U23" s="46">
        <v>8</v>
      </c>
      <c r="V23" s="46">
        <v>8</v>
      </c>
      <c r="W23" s="46">
        <v>8</v>
      </c>
      <c r="X23" s="46">
        <v>8</v>
      </c>
      <c r="Y23" s="46">
        <v>8</v>
      </c>
      <c r="Z23" s="46">
        <v>8</v>
      </c>
      <c r="AA23" s="46">
        <v>8</v>
      </c>
      <c r="AB23" s="46">
        <v>8</v>
      </c>
      <c r="AC23" s="46">
        <v>8</v>
      </c>
      <c r="AD23" s="46">
        <v>8</v>
      </c>
      <c r="AE23" s="46">
        <v>8</v>
      </c>
      <c r="AF23" s="46">
        <v>8</v>
      </c>
      <c r="AG23" s="46">
        <v>8</v>
      </c>
    </row>
    <row r="24" spans="1:33">
      <c r="A24">
        <v>91</v>
      </c>
      <c r="B24" t="s">
        <v>18</v>
      </c>
      <c r="C24" s="534">
        <v>1</v>
      </c>
      <c r="D24" s="534">
        <v>4</v>
      </c>
      <c r="E24" s="534">
        <v>6</v>
      </c>
      <c r="F24" s="534">
        <v>6</v>
      </c>
      <c r="G24" s="534">
        <v>6</v>
      </c>
      <c r="H24" s="534">
        <v>5</v>
      </c>
      <c r="I24" s="534">
        <v>5</v>
      </c>
      <c r="J24" s="534">
        <v>5</v>
      </c>
      <c r="K24" s="534">
        <v>5</v>
      </c>
      <c r="L24" s="534">
        <v>6</v>
      </c>
      <c r="M24" s="534">
        <v>6</v>
      </c>
      <c r="N24" s="47">
        <v>6</v>
      </c>
      <c r="O24" s="47">
        <v>6</v>
      </c>
      <c r="P24" s="47">
        <v>6</v>
      </c>
      <c r="Q24" s="47">
        <v>6</v>
      </c>
      <c r="R24" s="47">
        <v>6</v>
      </c>
      <c r="S24" s="47">
        <v>6</v>
      </c>
      <c r="T24" s="47">
        <v>6</v>
      </c>
      <c r="U24" s="47">
        <v>6</v>
      </c>
      <c r="V24" s="47">
        <v>7</v>
      </c>
      <c r="W24" s="47">
        <v>7</v>
      </c>
      <c r="X24" s="47">
        <v>7</v>
      </c>
      <c r="Y24" s="47">
        <v>7</v>
      </c>
      <c r="Z24" s="47">
        <v>7</v>
      </c>
      <c r="AA24" s="47">
        <v>7</v>
      </c>
      <c r="AB24" s="47">
        <v>7</v>
      </c>
      <c r="AC24" s="47">
        <v>7</v>
      </c>
      <c r="AD24" s="47">
        <v>7</v>
      </c>
      <c r="AE24" s="47">
        <v>7</v>
      </c>
      <c r="AF24" s="47">
        <v>7</v>
      </c>
      <c r="AG24" s="47">
        <v>7</v>
      </c>
    </row>
    <row r="25" spans="1:33">
      <c r="A25">
        <v>92</v>
      </c>
      <c r="B25" t="s">
        <v>19</v>
      </c>
      <c r="C25" s="534">
        <v>-2</v>
      </c>
      <c r="D25" s="534">
        <v>0</v>
      </c>
      <c r="E25" s="534">
        <v>2</v>
      </c>
      <c r="F25" s="534">
        <v>4</v>
      </c>
      <c r="G25" s="534">
        <v>6</v>
      </c>
      <c r="H25" s="534">
        <v>6</v>
      </c>
      <c r="I25" s="534">
        <v>6</v>
      </c>
      <c r="J25" s="534">
        <v>6</v>
      </c>
      <c r="K25" s="534">
        <v>6</v>
      </c>
      <c r="L25" s="534">
        <v>6</v>
      </c>
      <c r="M25" s="534">
        <v>6</v>
      </c>
      <c r="N25" s="48">
        <v>7</v>
      </c>
      <c r="O25" s="48">
        <v>7</v>
      </c>
      <c r="P25" s="48">
        <v>7</v>
      </c>
      <c r="Q25" s="48">
        <v>7</v>
      </c>
      <c r="R25" s="48">
        <v>7</v>
      </c>
      <c r="S25" s="48">
        <v>7</v>
      </c>
      <c r="T25" s="48">
        <v>7</v>
      </c>
      <c r="U25" s="48">
        <v>7</v>
      </c>
      <c r="V25" s="48">
        <v>7</v>
      </c>
      <c r="W25" s="48">
        <v>7</v>
      </c>
      <c r="X25" s="48">
        <v>7</v>
      </c>
      <c r="Y25" s="48">
        <v>7</v>
      </c>
      <c r="Z25" s="48">
        <v>7</v>
      </c>
      <c r="AA25" s="48">
        <v>7</v>
      </c>
      <c r="AB25" s="48">
        <v>7</v>
      </c>
      <c r="AC25" s="48">
        <v>7</v>
      </c>
      <c r="AD25" s="48">
        <v>7</v>
      </c>
      <c r="AE25" s="48">
        <v>7</v>
      </c>
      <c r="AF25" s="48">
        <v>8</v>
      </c>
      <c r="AG25" s="48">
        <v>8</v>
      </c>
    </row>
    <row r="26" spans="1:33">
      <c r="A26">
        <v>93</v>
      </c>
      <c r="B26" t="s">
        <v>20</v>
      </c>
      <c r="C26" s="534">
        <v>0</v>
      </c>
      <c r="D26" s="534">
        <v>-5</v>
      </c>
      <c r="E26" s="534">
        <v>-5</v>
      </c>
      <c r="F26" s="534">
        <v>-5</v>
      </c>
      <c r="G26" s="534">
        <v>-1</v>
      </c>
      <c r="H26" s="534">
        <v>-1</v>
      </c>
      <c r="I26" s="534">
        <v>-1</v>
      </c>
      <c r="J26" s="534">
        <v>-1</v>
      </c>
      <c r="K26" s="534">
        <v>-1</v>
      </c>
      <c r="L26" s="534">
        <v>-1</v>
      </c>
      <c r="M26" s="534">
        <v>6</v>
      </c>
      <c r="N26" s="49">
        <v>6</v>
      </c>
      <c r="O26" s="49">
        <v>6</v>
      </c>
      <c r="P26" s="49">
        <v>6</v>
      </c>
      <c r="Q26" s="49">
        <v>6</v>
      </c>
      <c r="R26" s="49">
        <v>8</v>
      </c>
      <c r="S26" s="49">
        <v>8</v>
      </c>
      <c r="T26" s="49">
        <v>8</v>
      </c>
      <c r="U26" s="49">
        <v>8</v>
      </c>
      <c r="V26" s="49">
        <v>8</v>
      </c>
      <c r="W26" s="49">
        <v>8</v>
      </c>
      <c r="X26" s="49">
        <v>8</v>
      </c>
      <c r="Y26" s="49">
        <v>8</v>
      </c>
      <c r="Z26" s="49">
        <v>8</v>
      </c>
      <c r="AA26" s="49">
        <v>8</v>
      </c>
      <c r="AB26" s="49">
        <v>8</v>
      </c>
      <c r="AC26" s="49">
        <v>8</v>
      </c>
      <c r="AD26" s="49">
        <v>9</v>
      </c>
      <c r="AE26" s="49">
        <v>9</v>
      </c>
      <c r="AF26" s="49">
        <v>9</v>
      </c>
      <c r="AG26" s="49">
        <v>9</v>
      </c>
    </row>
    <row r="27" spans="1:33">
      <c r="A27">
        <v>94</v>
      </c>
      <c r="B27" t="s">
        <v>21</v>
      </c>
      <c r="C27" s="534">
        <v>10</v>
      </c>
      <c r="D27" s="534">
        <v>10</v>
      </c>
      <c r="E27" s="534">
        <v>10</v>
      </c>
      <c r="F27" s="534">
        <v>10</v>
      </c>
      <c r="G27" s="534">
        <v>10</v>
      </c>
      <c r="H27" s="534">
        <v>10</v>
      </c>
      <c r="I27" s="534">
        <v>10</v>
      </c>
      <c r="J27" s="534">
        <v>10</v>
      </c>
      <c r="K27" s="534">
        <v>10</v>
      </c>
      <c r="L27" s="534">
        <v>10</v>
      </c>
      <c r="M27" s="534">
        <v>10</v>
      </c>
      <c r="N27" s="50">
        <v>10</v>
      </c>
      <c r="O27" s="50">
        <v>10</v>
      </c>
      <c r="P27" s="50">
        <v>10</v>
      </c>
      <c r="Q27" s="50">
        <v>10</v>
      </c>
      <c r="R27" s="50">
        <v>10</v>
      </c>
      <c r="S27" s="50">
        <v>10</v>
      </c>
      <c r="T27" s="50">
        <v>10</v>
      </c>
      <c r="U27" s="50">
        <v>10</v>
      </c>
      <c r="V27" s="50">
        <v>10</v>
      </c>
      <c r="W27" s="50">
        <v>10</v>
      </c>
      <c r="X27" s="50">
        <v>10</v>
      </c>
      <c r="Y27" s="50">
        <v>10</v>
      </c>
      <c r="Z27" s="50">
        <v>10</v>
      </c>
      <c r="AA27" s="50">
        <v>10</v>
      </c>
      <c r="AB27" s="50">
        <v>10</v>
      </c>
      <c r="AC27" s="50">
        <v>10</v>
      </c>
      <c r="AD27" s="50">
        <v>10</v>
      </c>
      <c r="AE27" s="50">
        <v>10</v>
      </c>
      <c r="AF27" s="50">
        <v>10</v>
      </c>
      <c r="AG27" s="50">
        <v>10</v>
      </c>
    </row>
    <row r="28" spans="1:33">
      <c r="A28">
        <v>95</v>
      </c>
      <c r="B28" t="s">
        <v>22</v>
      </c>
      <c r="C28" s="534">
        <v>-6</v>
      </c>
      <c r="D28" s="534">
        <v>-6</v>
      </c>
      <c r="E28" s="534">
        <v>-5</v>
      </c>
      <c r="F28" s="534">
        <v>-5</v>
      </c>
      <c r="G28" s="534">
        <v>-6</v>
      </c>
      <c r="H28" s="534">
        <v>-6</v>
      </c>
      <c r="I28" s="534">
        <v>-6</v>
      </c>
      <c r="J28" s="534">
        <v>-8</v>
      </c>
      <c r="K28" s="534">
        <v>-8</v>
      </c>
      <c r="L28" s="534">
        <v>8</v>
      </c>
      <c r="M28" s="534">
        <v>8</v>
      </c>
      <c r="N28" s="51">
        <v>8</v>
      </c>
      <c r="O28" s="51">
        <v>8</v>
      </c>
      <c r="P28" s="51">
        <v>8</v>
      </c>
      <c r="Q28" s="51">
        <v>9</v>
      </c>
      <c r="R28" s="51">
        <v>9</v>
      </c>
      <c r="S28" s="51">
        <v>9</v>
      </c>
      <c r="T28" s="51">
        <v>9</v>
      </c>
      <c r="U28" s="51">
        <v>9</v>
      </c>
      <c r="V28" s="51">
        <v>9</v>
      </c>
      <c r="W28" s="51">
        <v>9</v>
      </c>
      <c r="X28" s="51">
        <v>9</v>
      </c>
      <c r="Y28" s="51">
        <v>9</v>
      </c>
      <c r="Z28" s="51">
        <v>9</v>
      </c>
      <c r="AA28" s="51">
        <v>9</v>
      </c>
      <c r="AB28" s="51">
        <v>9</v>
      </c>
      <c r="AC28" s="51">
        <v>9</v>
      </c>
      <c r="AD28" s="51">
        <v>9</v>
      </c>
      <c r="AE28" s="51">
        <v>9</v>
      </c>
      <c r="AF28" s="51">
        <v>9</v>
      </c>
      <c r="AG28" s="51">
        <v>9</v>
      </c>
    </row>
    <row r="29" spans="1:33">
      <c r="A29">
        <v>100</v>
      </c>
      <c r="B29" t="s">
        <v>23</v>
      </c>
      <c r="C29" s="534">
        <v>8</v>
      </c>
      <c r="D29" s="534">
        <v>8</v>
      </c>
      <c r="E29" s="534">
        <v>8</v>
      </c>
      <c r="F29" s="534">
        <v>8</v>
      </c>
      <c r="G29" s="534">
        <v>8</v>
      </c>
      <c r="H29" s="534">
        <v>8</v>
      </c>
      <c r="I29" s="534">
        <v>8</v>
      </c>
      <c r="J29" s="534">
        <v>8</v>
      </c>
      <c r="K29" s="534">
        <v>8</v>
      </c>
      <c r="L29" s="534">
        <v>8</v>
      </c>
      <c r="M29" s="534">
        <v>8</v>
      </c>
      <c r="N29" s="52">
        <v>9</v>
      </c>
      <c r="O29" s="52">
        <v>9</v>
      </c>
      <c r="P29" s="52">
        <v>9</v>
      </c>
      <c r="Q29" s="52">
        <v>9</v>
      </c>
      <c r="R29" s="52">
        <v>7</v>
      </c>
      <c r="S29" s="52">
        <v>7</v>
      </c>
      <c r="T29" s="52">
        <v>7</v>
      </c>
      <c r="U29" s="52">
        <v>7</v>
      </c>
      <c r="V29" s="52">
        <v>7</v>
      </c>
      <c r="W29" s="52">
        <v>7</v>
      </c>
      <c r="X29" s="52">
        <v>7</v>
      </c>
      <c r="Y29" s="52">
        <v>7</v>
      </c>
      <c r="Z29" s="52">
        <v>7</v>
      </c>
      <c r="AA29" s="52">
        <v>7</v>
      </c>
      <c r="AB29" s="52">
        <v>7</v>
      </c>
      <c r="AC29" s="52">
        <v>7</v>
      </c>
      <c r="AD29" s="52">
        <v>7</v>
      </c>
      <c r="AE29" s="52">
        <v>7</v>
      </c>
      <c r="AF29" s="52">
        <v>7</v>
      </c>
      <c r="AG29" s="52">
        <v>7</v>
      </c>
    </row>
    <row r="30" spans="1:33">
      <c r="A30">
        <v>101</v>
      </c>
      <c r="B30" t="s">
        <v>24</v>
      </c>
      <c r="C30" s="534">
        <v>9</v>
      </c>
      <c r="D30" s="534">
        <v>9</v>
      </c>
      <c r="E30" s="534">
        <v>9</v>
      </c>
      <c r="F30" s="534">
        <v>9</v>
      </c>
      <c r="G30" s="534">
        <v>9</v>
      </c>
      <c r="H30" s="534">
        <v>9</v>
      </c>
      <c r="I30" s="534">
        <v>9</v>
      </c>
      <c r="J30" s="534">
        <v>9</v>
      </c>
      <c r="K30" s="534">
        <v>9</v>
      </c>
      <c r="L30" s="534">
        <v>9</v>
      </c>
      <c r="M30" s="534">
        <v>9</v>
      </c>
      <c r="N30" s="53">
        <v>9</v>
      </c>
      <c r="O30" s="53">
        <v>8</v>
      </c>
      <c r="P30" s="53">
        <v>8</v>
      </c>
      <c r="Q30" s="53">
        <v>8</v>
      </c>
      <c r="R30" s="53">
        <v>8</v>
      </c>
      <c r="S30" s="53">
        <v>8</v>
      </c>
      <c r="T30" s="53">
        <v>8</v>
      </c>
      <c r="U30" s="53">
        <v>8</v>
      </c>
      <c r="V30" s="53">
        <v>7</v>
      </c>
      <c r="W30" s="53">
        <v>7</v>
      </c>
      <c r="X30" s="53">
        <v>6</v>
      </c>
      <c r="Y30" s="53">
        <v>6</v>
      </c>
      <c r="Z30" s="53">
        <v>6</v>
      </c>
      <c r="AA30" s="53">
        <v>6</v>
      </c>
      <c r="AB30" s="53">
        <v>6</v>
      </c>
      <c r="AC30" s="53">
        <v>5</v>
      </c>
      <c r="AD30" s="53">
        <v>5</v>
      </c>
      <c r="AE30" s="53">
        <v>5</v>
      </c>
      <c r="AF30" s="53">
        <v>-3</v>
      </c>
      <c r="AG30" s="53">
        <v>-3</v>
      </c>
    </row>
    <row r="31" spans="1:33">
      <c r="A31">
        <v>110</v>
      </c>
      <c r="B31" t="s">
        <v>25</v>
      </c>
      <c r="C31" s="534">
        <v>-7</v>
      </c>
      <c r="D31" s="534">
        <v>-7</v>
      </c>
      <c r="E31" s="534">
        <v>-7</v>
      </c>
      <c r="F31" s="534">
        <v>-7</v>
      </c>
      <c r="G31" s="534">
        <v>-7</v>
      </c>
      <c r="H31" s="534">
        <v>-7</v>
      </c>
      <c r="I31" s="534">
        <v>-7</v>
      </c>
      <c r="J31" s="534">
        <v>-7</v>
      </c>
      <c r="K31" s="534">
        <v>-7</v>
      </c>
      <c r="L31" s="534">
        <v>-7</v>
      </c>
      <c r="M31" s="534">
        <v>-7</v>
      </c>
      <c r="N31" s="54">
        <v>-7</v>
      </c>
      <c r="O31" s="54">
        <v>6</v>
      </c>
      <c r="P31" s="54">
        <v>6</v>
      </c>
      <c r="Q31" s="54">
        <v>6</v>
      </c>
      <c r="R31" s="54">
        <v>6</v>
      </c>
      <c r="S31" s="54">
        <v>6</v>
      </c>
      <c r="T31" s="54">
        <v>6</v>
      </c>
      <c r="U31" s="54">
        <v>6</v>
      </c>
      <c r="V31" s="54">
        <v>6</v>
      </c>
      <c r="W31" s="54">
        <v>6</v>
      </c>
      <c r="X31" s="54">
        <v>6</v>
      </c>
      <c r="Y31" s="54">
        <v>6</v>
      </c>
      <c r="Z31" s="54">
        <v>6</v>
      </c>
      <c r="AA31" s="54">
        <v>6</v>
      </c>
      <c r="AB31" s="54">
        <v>6</v>
      </c>
      <c r="AC31" s="54">
        <v>6</v>
      </c>
      <c r="AD31" s="54">
        <v>6</v>
      </c>
      <c r="AE31" s="54">
        <v>6</v>
      </c>
      <c r="AF31" s="54">
        <v>6</v>
      </c>
      <c r="AG31" s="54">
        <v>6</v>
      </c>
    </row>
    <row r="32" spans="1:33">
      <c r="A32">
        <v>115</v>
      </c>
      <c r="B32" t="s">
        <v>26</v>
      </c>
    </row>
    <row r="33" spans="1:33">
      <c r="A33">
        <v>130</v>
      </c>
      <c r="B33" t="s">
        <v>27</v>
      </c>
      <c r="C33" s="534">
        <v>9</v>
      </c>
      <c r="D33" s="534">
        <v>9</v>
      </c>
      <c r="E33" s="534">
        <v>9</v>
      </c>
      <c r="F33" s="534">
        <v>9</v>
      </c>
      <c r="G33" s="534">
        <v>8</v>
      </c>
      <c r="H33" s="534">
        <v>8</v>
      </c>
      <c r="I33" s="534">
        <v>8</v>
      </c>
      <c r="J33" s="534">
        <v>8</v>
      </c>
      <c r="K33" s="534">
        <v>9</v>
      </c>
      <c r="L33" s="534">
        <v>9</v>
      </c>
      <c r="M33" s="534">
        <v>9</v>
      </c>
      <c r="N33" s="55">
        <v>9</v>
      </c>
      <c r="O33" s="55">
        <v>9</v>
      </c>
      <c r="P33" s="55">
        <v>9</v>
      </c>
      <c r="Q33" s="55">
        <v>9</v>
      </c>
      <c r="R33" s="55">
        <v>9</v>
      </c>
      <c r="S33" s="55">
        <v>9</v>
      </c>
      <c r="T33" s="55">
        <v>8</v>
      </c>
      <c r="U33" s="55">
        <v>9</v>
      </c>
      <c r="V33" s="55">
        <v>9</v>
      </c>
      <c r="W33" s="55">
        <v>6</v>
      </c>
      <c r="X33" s="55">
        <v>6</v>
      </c>
      <c r="Y33" s="55">
        <v>6</v>
      </c>
      <c r="Z33" s="55">
        <v>6</v>
      </c>
      <c r="AA33" s="55">
        <v>6</v>
      </c>
      <c r="AB33" s="55">
        <v>6</v>
      </c>
      <c r="AC33" s="55">
        <v>7</v>
      </c>
      <c r="AD33" s="55">
        <v>5</v>
      </c>
      <c r="AE33" s="55">
        <v>5</v>
      </c>
      <c r="AF33" s="55">
        <v>5</v>
      </c>
      <c r="AG33" s="55">
        <v>5</v>
      </c>
    </row>
    <row r="34" spans="1:33">
      <c r="A34">
        <v>135</v>
      </c>
      <c r="B34" t="s">
        <v>28</v>
      </c>
      <c r="C34" s="534">
        <v>7</v>
      </c>
      <c r="D34" s="534">
        <v>7</v>
      </c>
      <c r="E34" s="534">
        <v>7</v>
      </c>
      <c r="F34" s="534">
        <v>7</v>
      </c>
      <c r="G34" s="534">
        <v>7</v>
      </c>
      <c r="H34" s="534">
        <v>7</v>
      </c>
      <c r="I34" s="534">
        <v>7</v>
      </c>
      <c r="J34" s="534">
        <v>7</v>
      </c>
      <c r="K34" s="534">
        <v>7</v>
      </c>
      <c r="L34" s="534">
        <v>7</v>
      </c>
      <c r="M34" s="534">
        <v>8</v>
      </c>
      <c r="N34" s="56">
        <v>8</v>
      </c>
      <c r="O34" s="56">
        <v>-3</v>
      </c>
      <c r="P34" s="56">
        <v>1</v>
      </c>
      <c r="Q34" s="56">
        <v>1</v>
      </c>
      <c r="R34" s="56">
        <v>1</v>
      </c>
      <c r="S34" s="56">
        <v>1</v>
      </c>
      <c r="T34" s="56">
        <v>1</v>
      </c>
      <c r="U34" s="56">
        <v>1</v>
      </c>
      <c r="V34" s="56">
        <v>1</v>
      </c>
      <c r="W34" s="56">
        <v>5</v>
      </c>
      <c r="X34" s="56">
        <v>9</v>
      </c>
      <c r="Y34" s="56">
        <v>9</v>
      </c>
      <c r="Z34" s="56">
        <v>9</v>
      </c>
      <c r="AA34" s="56">
        <v>9</v>
      </c>
      <c r="AB34" s="56">
        <v>9</v>
      </c>
      <c r="AC34" s="56">
        <v>9</v>
      </c>
      <c r="AD34" s="56">
        <v>9</v>
      </c>
      <c r="AE34" s="56">
        <v>9</v>
      </c>
      <c r="AF34" s="56">
        <v>9</v>
      </c>
      <c r="AG34" s="56">
        <v>9</v>
      </c>
    </row>
    <row r="35" spans="1:33">
      <c r="A35">
        <v>140</v>
      </c>
      <c r="B35" t="s">
        <v>29</v>
      </c>
      <c r="C35" s="534">
        <v>-4</v>
      </c>
      <c r="D35" s="534">
        <v>-4</v>
      </c>
      <c r="E35" s="534">
        <v>-3</v>
      </c>
      <c r="F35" s="534">
        <v>-3</v>
      </c>
      <c r="G35" s="534">
        <v>-3</v>
      </c>
      <c r="H35" s="534">
        <v>7</v>
      </c>
      <c r="I35" s="534">
        <v>7</v>
      </c>
      <c r="J35" s="534">
        <v>7</v>
      </c>
      <c r="K35" s="534">
        <v>8</v>
      </c>
      <c r="L35" s="534">
        <v>8</v>
      </c>
      <c r="M35" s="534">
        <v>8</v>
      </c>
      <c r="N35" s="57">
        <v>8</v>
      </c>
      <c r="O35" s="57">
        <v>8</v>
      </c>
      <c r="P35" s="57">
        <v>8</v>
      </c>
      <c r="Q35" s="57">
        <v>8</v>
      </c>
      <c r="R35" s="57">
        <v>8</v>
      </c>
      <c r="S35" s="57">
        <v>8</v>
      </c>
      <c r="T35" s="57">
        <v>8</v>
      </c>
      <c r="U35" s="57">
        <v>8</v>
      </c>
      <c r="V35" s="57">
        <v>8</v>
      </c>
      <c r="W35" s="57">
        <v>8</v>
      </c>
      <c r="X35" s="57">
        <v>8</v>
      </c>
      <c r="Y35" s="57">
        <v>8</v>
      </c>
      <c r="Z35" s="57">
        <v>8</v>
      </c>
      <c r="AA35" s="57">
        <v>8</v>
      </c>
      <c r="AB35" s="57">
        <v>8</v>
      </c>
      <c r="AC35" s="57">
        <v>8</v>
      </c>
      <c r="AD35" s="57">
        <v>8</v>
      </c>
      <c r="AE35" s="57">
        <v>8</v>
      </c>
      <c r="AF35" s="57">
        <v>8</v>
      </c>
      <c r="AG35" s="57">
        <v>8</v>
      </c>
    </row>
    <row r="36" spans="1:33">
      <c r="A36">
        <v>145</v>
      </c>
      <c r="B36" t="s">
        <v>30</v>
      </c>
      <c r="C36" s="534">
        <v>-7</v>
      </c>
      <c r="D36" s="534">
        <v>-7</v>
      </c>
      <c r="E36" s="534">
        <v>8</v>
      </c>
      <c r="F36" s="534">
        <v>8</v>
      </c>
      <c r="G36" s="534">
        <v>8</v>
      </c>
      <c r="H36" s="534">
        <v>9</v>
      </c>
      <c r="I36" s="534">
        <v>9</v>
      </c>
      <c r="J36" s="534">
        <v>9</v>
      </c>
      <c r="K36" s="534">
        <v>9</v>
      </c>
      <c r="L36" s="534">
        <v>9</v>
      </c>
      <c r="M36" s="534">
        <v>9</v>
      </c>
      <c r="N36" s="58">
        <v>9</v>
      </c>
      <c r="O36" s="58">
        <v>9</v>
      </c>
      <c r="P36" s="58">
        <v>9</v>
      </c>
      <c r="Q36" s="58">
        <v>9</v>
      </c>
      <c r="R36" s="58">
        <v>9</v>
      </c>
      <c r="S36" s="58">
        <v>9</v>
      </c>
      <c r="T36" s="58">
        <v>9</v>
      </c>
      <c r="U36" s="58">
        <v>9</v>
      </c>
      <c r="V36" s="58">
        <v>9</v>
      </c>
      <c r="W36" s="58">
        <v>9</v>
      </c>
      <c r="X36" s="58">
        <v>9</v>
      </c>
      <c r="Y36" s="58">
        <v>9</v>
      </c>
      <c r="Z36" s="58">
        <v>8</v>
      </c>
      <c r="AA36" s="58">
        <v>8</v>
      </c>
      <c r="AB36" s="58">
        <v>8</v>
      </c>
      <c r="AC36" s="58">
        <v>8</v>
      </c>
      <c r="AD36" s="58">
        <v>8</v>
      </c>
      <c r="AE36" s="58">
        <v>8</v>
      </c>
      <c r="AF36" s="58">
        <v>7</v>
      </c>
      <c r="AG36" s="58">
        <v>7</v>
      </c>
    </row>
    <row r="37" spans="1:33">
      <c r="A37">
        <v>150</v>
      </c>
      <c r="B37" t="s">
        <v>31</v>
      </c>
      <c r="C37" s="534">
        <v>-8</v>
      </c>
      <c r="D37" s="534">
        <v>-8</v>
      </c>
      <c r="E37" s="534">
        <v>-8</v>
      </c>
      <c r="F37" s="534">
        <v>-8</v>
      </c>
      <c r="G37" s="534">
        <v>-8</v>
      </c>
      <c r="H37" s="534">
        <v>-8</v>
      </c>
      <c r="I37" s="534">
        <v>-8</v>
      </c>
      <c r="J37" s="534">
        <v>-8</v>
      </c>
      <c r="K37" s="534">
        <v>-8</v>
      </c>
      <c r="L37" s="534">
        <v>2</v>
      </c>
      <c r="M37" s="534">
        <v>2</v>
      </c>
      <c r="N37" s="59">
        <v>2</v>
      </c>
      <c r="O37" s="59">
        <v>7</v>
      </c>
      <c r="P37" s="59">
        <v>7</v>
      </c>
      <c r="Q37" s="59">
        <v>7</v>
      </c>
      <c r="R37" s="59">
        <v>7</v>
      </c>
      <c r="S37" s="59">
        <v>7</v>
      </c>
      <c r="T37" s="59">
        <v>7</v>
      </c>
      <c r="U37" s="59">
        <v>6</v>
      </c>
      <c r="V37" s="59">
        <v>7</v>
      </c>
      <c r="W37" s="59">
        <v>7</v>
      </c>
      <c r="X37" s="59">
        <v>7</v>
      </c>
      <c r="Y37" s="59">
        <v>7</v>
      </c>
      <c r="Z37" s="59">
        <v>8</v>
      </c>
      <c r="AA37" s="59">
        <v>8</v>
      </c>
      <c r="AB37" s="59">
        <v>8</v>
      </c>
      <c r="AC37" s="59">
        <v>8</v>
      </c>
      <c r="AD37" s="59">
        <v>8</v>
      </c>
      <c r="AE37" s="59">
        <v>8</v>
      </c>
      <c r="AF37" s="59">
        <v>8</v>
      </c>
      <c r="AG37" s="59">
        <v>8</v>
      </c>
    </row>
    <row r="38" spans="1:33">
      <c r="A38">
        <v>155</v>
      </c>
      <c r="B38" t="s">
        <v>32</v>
      </c>
      <c r="C38" s="534">
        <v>-7</v>
      </c>
      <c r="D38" s="534">
        <v>-7</v>
      </c>
      <c r="E38" s="534">
        <v>-7</v>
      </c>
      <c r="F38" s="534">
        <v>-6</v>
      </c>
      <c r="G38" s="534">
        <v>-6</v>
      </c>
      <c r="H38" s="534">
        <v>-6</v>
      </c>
      <c r="I38" s="534">
        <v>-6</v>
      </c>
      <c r="J38" s="534">
        <v>-6</v>
      </c>
      <c r="K38" s="534">
        <v>-1</v>
      </c>
      <c r="L38" s="534">
        <v>8</v>
      </c>
      <c r="M38" s="534">
        <v>8</v>
      </c>
      <c r="N38" s="60">
        <v>8</v>
      </c>
      <c r="O38" s="60">
        <v>8</v>
      </c>
      <c r="P38" s="60">
        <v>8</v>
      </c>
      <c r="Q38" s="60">
        <v>8</v>
      </c>
      <c r="R38" s="60">
        <v>8</v>
      </c>
      <c r="S38" s="60">
        <v>8</v>
      </c>
      <c r="T38" s="60">
        <v>8</v>
      </c>
      <c r="U38" s="60">
        <v>8</v>
      </c>
      <c r="V38" s="60">
        <v>8</v>
      </c>
      <c r="W38" s="60">
        <v>9</v>
      </c>
      <c r="X38" s="60">
        <v>9</v>
      </c>
      <c r="Y38" s="60">
        <v>9</v>
      </c>
      <c r="Z38" s="60">
        <v>9</v>
      </c>
      <c r="AA38" s="60">
        <v>9</v>
      </c>
      <c r="AB38" s="60">
        <v>9</v>
      </c>
      <c r="AC38" s="60">
        <v>10</v>
      </c>
      <c r="AD38" s="60">
        <v>10</v>
      </c>
      <c r="AE38" s="60">
        <v>10</v>
      </c>
      <c r="AF38" s="60">
        <v>10</v>
      </c>
      <c r="AG38" s="60">
        <v>10</v>
      </c>
    </row>
    <row r="39" spans="1:33">
      <c r="A39">
        <v>160</v>
      </c>
      <c r="B39" t="s">
        <v>33</v>
      </c>
      <c r="C39" s="534">
        <v>-9</v>
      </c>
      <c r="D39" s="534">
        <v>-8</v>
      </c>
      <c r="E39" s="534">
        <v>-8</v>
      </c>
      <c r="F39" s="534">
        <v>8</v>
      </c>
      <c r="G39" s="534">
        <v>8</v>
      </c>
      <c r="H39" s="534">
        <v>8</v>
      </c>
      <c r="I39" s="534">
        <v>8</v>
      </c>
      <c r="J39" s="534">
        <v>8</v>
      </c>
      <c r="K39" s="534">
        <v>8</v>
      </c>
      <c r="L39" s="534">
        <v>7</v>
      </c>
      <c r="M39" s="534">
        <v>7</v>
      </c>
      <c r="N39" s="61">
        <v>7</v>
      </c>
      <c r="O39" s="61">
        <v>7</v>
      </c>
      <c r="P39" s="61">
        <v>7</v>
      </c>
      <c r="Q39" s="61">
        <v>7</v>
      </c>
      <c r="R39" s="61">
        <v>7</v>
      </c>
      <c r="S39" s="61">
        <v>7</v>
      </c>
      <c r="T39" s="61">
        <v>7</v>
      </c>
      <c r="U39" s="61">
        <v>7</v>
      </c>
      <c r="V39" s="61">
        <v>8</v>
      </c>
      <c r="W39" s="61">
        <v>8</v>
      </c>
      <c r="X39" s="61">
        <v>8</v>
      </c>
      <c r="Y39" s="61">
        <v>8</v>
      </c>
      <c r="Z39" s="61">
        <v>8</v>
      </c>
      <c r="AA39" s="61">
        <v>8</v>
      </c>
      <c r="AB39" s="61">
        <v>8</v>
      </c>
      <c r="AC39" s="61">
        <v>8</v>
      </c>
      <c r="AD39" s="61">
        <v>8</v>
      </c>
      <c r="AE39" s="61">
        <v>8</v>
      </c>
      <c r="AF39" s="61">
        <v>8</v>
      </c>
      <c r="AG39" s="61">
        <v>8</v>
      </c>
    </row>
    <row r="40" spans="1:33">
      <c r="A40">
        <v>165</v>
      </c>
      <c r="B40" t="s">
        <v>34</v>
      </c>
      <c r="C40" s="534">
        <v>-7</v>
      </c>
      <c r="D40" s="534">
        <v>-7</v>
      </c>
      <c r="E40" s="534">
        <v>-7</v>
      </c>
      <c r="F40" s="534">
        <v>-7</v>
      </c>
      <c r="G40" s="534">
        <v>-7</v>
      </c>
      <c r="H40" s="534">
        <v>9</v>
      </c>
      <c r="I40" s="534">
        <v>9</v>
      </c>
      <c r="J40" s="534">
        <v>9</v>
      </c>
      <c r="K40" s="534">
        <v>9</v>
      </c>
      <c r="L40" s="534">
        <v>10</v>
      </c>
      <c r="M40" s="534">
        <v>10</v>
      </c>
      <c r="N40" s="62">
        <v>10</v>
      </c>
      <c r="O40" s="62">
        <v>10</v>
      </c>
      <c r="P40" s="62">
        <v>10</v>
      </c>
      <c r="Q40" s="62">
        <v>10</v>
      </c>
      <c r="R40" s="62">
        <v>10</v>
      </c>
      <c r="S40" s="62">
        <v>10</v>
      </c>
      <c r="T40" s="62">
        <v>10</v>
      </c>
      <c r="U40" s="62">
        <v>10</v>
      </c>
      <c r="V40" s="62">
        <v>10</v>
      </c>
      <c r="W40" s="62">
        <v>10</v>
      </c>
      <c r="X40" s="62">
        <v>10</v>
      </c>
      <c r="Y40" s="62">
        <v>10</v>
      </c>
      <c r="Z40" s="62">
        <v>10</v>
      </c>
      <c r="AA40" s="62">
        <v>10</v>
      </c>
      <c r="AB40" s="62">
        <v>10</v>
      </c>
      <c r="AC40" s="62">
        <v>10</v>
      </c>
      <c r="AD40" s="62">
        <v>10</v>
      </c>
      <c r="AE40" s="62">
        <v>10</v>
      </c>
      <c r="AF40" s="62">
        <v>10</v>
      </c>
      <c r="AG40" s="62">
        <v>10</v>
      </c>
    </row>
    <row r="41" spans="1:33">
      <c r="A41">
        <v>200</v>
      </c>
      <c r="B41" t="s">
        <v>35</v>
      </c>
      <c r="C41" s="534">
        <v>10</v>
      </c>
      <c r="D41" s="534">
        <v>10</v>
      </c>
      <c r="E41" s="534">
        <v>10</v>
      </c>
      <c r="F41" s="534">
        <v>10</v>
      </c>
      <c r="G41" s="534">
        <v>10</v>
      </c>
      <c r="H41" s="534">
        <v>10</v>
      </c>
      <c r="I41" s="534">
        <v>10</v>
      </c>
      <c r="J41" s="534">
        <v>10</v>
      </c>
      <c r="K41" s="534">
        <v>10</v>
      </c>
      <c r="L41" s="534">
        <v>10</v>
      </c>
      <c r="M41" s="534">
        <v>10</v>
      </c>
      <c r="N41" s="63">
        <v>10</v>
      </c>
      <c r="O41" s="63">
        <v>10</v>
      </c>
      <c r="P41" s="63">
        <v>10</v>
      </c>
      <c r="Q41" s="63">
        <v>10</v>
      </c>
      <c r="R41" s="63">
        <v>10</v>
      </c>
      <c r="S41" s="63">
        <v>10</v>
      </c>
      <c r="T41" s="63">
        <v>10</v>
      </c>
      <c r="U41" s="63">
        <v>10</v>
      </c>
      <c r="V41" s="63">
        <v>10</v>
      </c>
      <c r="W41" s="63">
        <v>10</v>
      </c>
      <c r="X41" s="63">
        <v>10</v>
      </c>
      <c r="Y41" s="63">
        <v>10</v>
      </c>
      <c r="Z41" s="63">
        <v>10</v>
      </c>
      <c r="AA41" s="63">
        <v>10</v>
      </c>
      <c r="AB41" s="63">
        <v>10</v>
      </c>
      <c r="AC41" s="63">
        <v>10</v>
      </c>
      <c r="AD41" s="63">
        <v>10</v>
      </c>
      <c r="AE41" s="63">
        <v>10</v>
      </c>
      <c r="AF41" s="63">
        <v>10</v>
      </c>
      <c r="AG41" s="63">
        <v>10</v>
      </c>
    </row>
    <row r="42" spans="1:33">
      <c r="A42">
        <v>205</v>
      </c>
      <c r="B42" t="s">
        <v>36</v>
      </c>
      <c r="C42" s="534">
        <v>10</v>
      </c>
      <c r="D42" s="534">
        <v>10</v>
      </c>
      <c r="E42" s="534">
        <v>10</v>
      </c>
      <c r="F42" s="534">
        <v>10</v>
      </c>
      <c r="G42" s="534">
        <v>10</v>
      </c>
      <c r="H42" s="534">
        <v>10</v>
      </c>
      <c r="I42" s="534">
        <v>10</v>
      </c>
      <c r="J42" s="534">
        <v>10</v>
      </c>
      <c r="K42" s="534">
        <v>10</v>
      </c>
      <c r="L42" s="534">
        <v>10</v>
      </c>
      <c r="M42" s="534">
        <v>10</v>
      </c>
      <c r="N42" s="64">
        <v>10</v>
      </c>
      <c r="O42" s="64">
        <v>10</v>
      </c>
      <c r="P42" s="64">
        <v>10</v>
      </c>
      <c r="Q42" s="64">
        <v>10</v>
      </c>
      <c r="R42" s="64">
        <v>10</v>
      </c>
      <c r="S42" s="64">
        <v>10</v>
      </c>
      <c r="T42" s="64">
        <v>10</v>
      </c>
      <c r="U42" s="64">
        <v>10</v>
      </c>
      <c r="V42" s="64">
        <v>10</v>
      </c>
      <c r="W42" s="64">
        <v>10</v>
      </c>
      <c r="X42" s="64">
        <v>10</v>
      </c>
      <c r="Y42" s="64">
        <v>10</v>
      </c>
      <c r="Z42" s="64">
        <v>10</v>
      </c>
      <c r="AA42" s="64">
        <v>10</v>
      </c>
      <c r="AB42" s="64">
        <v>10</v>
      </c>
      <c r="AC42" s="64">
        <v>10</v>
      </c>
      <c r="AD42" s="64">
        <v>10</v>
      </c>
      <c r="AE42" s="64">
        <v>10</v>
      </c>
      <c r="AF42" s="64">
        <v>10</v>
      </c>
      <c r="AG42" s="64">
        <v>10</v>
      </c>
    </row>
    <row r="43" spans="1:33">
      <c r="A43">
        <v>210</v>
      </c>
      <c r="B43" t="s">
        <v>37</v>
      </c>
      <c r="C43" s="534">
        <v>10</v>
      </c>
      <c r="D43" s="534">
        <v>10</v>
      </c>
      <c r="E43" s="534">
        <v>10</v>
      </c>
      <c r="F43" s="534">
        <v>10</v>
      </c>
      <c r="G43" s="534">
        <v>10</v>
      </c>
      <c r="H43" s="534">
        <v>10</v>
      </c>
      <c r="I43" s="534">
        <v>10</v>
      </c>
      <c r="J43" s="534">
        <v>10</v>
      </c>
      <c r="K43" s="534">
        <v>10</v>
      </c>
      <c r="L43" s="534">
        <v>10</v>
      </c>
      <c r="M43" s="534">
        <v>10</v>
      </c>
      <c r="N43" s="65">
        <v>10</v>
      </c>
      <c r="O43" s="65">
        <v>10</v>
      </c>
      <c r="P43" s="65">
        <v>10</v>
      </c>
      <c r="Q43" s="65">
        <v>10</v>
      </c>
      <c r="R43" s="65">
        <v>10</v>
      </c>
      <c r="S43" s="65">
        <v>10</v>
      </c>
      <c r="T43" s="65">
        <v>10</v>
      </c>
      <c r="U43" s="65">
        <v>10</v>
      </c>
      <c r="V43" s="65">
        <v>10</v>
      </c>
      <c r="W43" s="65">
        <v>10</v>
      </c>
      <c r="X43" s="65">
        <v>10</v>
      </c>
      <c r="Y43" s="65">
        <v>10</v>
      </c>
      <c r="Z43" s="65">
        <v>10</v>
      </c>
      <c r="AA43" s="65">
        <v>10</v>
      </c>
      <c r="AB43" s="65">
        <v>10</v>
      </c>
      <c r="AC43" s="65">
        <v>10</v>
      </c>
      <c r="AD43" s="65">
        <v>10</v>
      </c>
      <c r="AE43" s="65">
        <v>10</v>
      </c>
      <c r="AF43" s="65">
        <v>10</v>
      </c>
      <c r="AG43" s="65">
        <v>10</v>
      </c>
    </row>
    <row r="44" spans="1:33">
      <c r="A44">
        <v>211</v>
      </c>
      <c r="B44" t="s">
        <v>38</v>
      </c>
      <c r="C44" s="534">
        <v>10</v>
      </c>
      <c r="D44" s="534">
        <v>10</v>
      </c>
      <c r="E44" s="534">
        <v>10</v>
      </c>
      <c r="F44" s="534">
        <v>10</v>
      </c>
      <c r="G44" s="534">
        <v>10</v>
      </c>
      <c r="H44" s="534">
        <v>10</v>
      </c>
      <c r="I44" s="534">
        <v>10</v>
      </c>
      <c r="J44" s="534">
        <v>10</v>
      </c>
      <c r="K44" s="534">
        <v>10</v>
      </c>
      <c r="L44" s="534">
        <v>10</v>
      </c>
      <c r="M44" s="534">
        <v>10</v>
      </c>
      <c r="N44" s="66">
        <v>10</v>
      </c>
      <c r="O44" s="66">
        <v>10</v>
      </c>
      <c r="P44" s="66">
        <v>10</v>
      </c>
      <c r="Q44" s="66">
        <v>10</v>
      </c>
      <c r="R44" s="66">
        <v>10</v>
      </c>
      <c r="S44" s="66">
        <v>10</v>
      </c>
      <c r="T44" s="66">
        <v>10</v>
      </c>
      <c r="U44" s="66">
        <v>10</v>
      </c>
      <c r="V44" s="66">
        <v>10</v>
      </c>
      <c r="W44" s="66">
        <v>10</v>
      </c>
      <c r="X44" s="66">
        <v>10</v>
      </c>
      <c r="Y44" s="66">
        <v>10</v>
      </c>
      <c r="Z44" s="66">
        <v>10</v>
      </c>
      <c r="AA44" s="66">
        <v>10</v>
      </c>
      <c r="AB44" s="66">
        <v>10</v>
      </c>
      <c r="AC44" s="66">
        <v>10</v>
      </c>
      <c r="AD44" s="66">
        <v>8</v>
      </c>
      <c r="AE44" s="66">
        <v>8</v>
      </c>
      <c r="AF44" s="66">
        <v>8</v>
      </c>
      <c r="AG44" s="66">
        <v>8</v>
      </c>
    </row>
    <row r="45" spans="1:33">
      <c r="A45">
        <v>212</v>
      </c>
      <c r="B45" t="s">
        <v>39</v>
      </c>
    </row>
    <row r="46" spans="1:33">
      <c r="A46">
        <v>220</v>
      </c>
      <c r="B46" t="s">
        <v>40</v>
      </c>
      <c r="C46" s="534">
        <v>8</v>
      </c>
      <c r="D46" s="534">
        <v>8</v>
      </c>
      <c r="E46" s="534">
        <v>8</v>
      </c>
      <c r="F46" s="534">
        <v>8</v>
      </c>
      <c r="G46" s="534">
        <v>8</v>
      </c>
      <c r="H46" s="534">
        <v>8</v>
      </c>
      <c r="I46" s="534">
        <v>9</v>
      </c>
      <c r="J46" s="534">
        <v>9</v>
      </c>
      <c r="K46" s="534">
        <v>9</v>
      </c>
      <c r="L46" s="534">
        <v>9</v>
      </c>
      <c r="M46" s="534">
        <v>9</v>
      </c>
      <c r="N46" s="67">
        <v>9</v>
      </c>
      <c r="O46" s="67">
        <v>9</v>
      </c>
      <c r="P46" s="67">
        <v>9</v>
      </c>
      <c r="Q46" s="67">
        <v>9</v>
      </c>
      <c r="R46" s="67">
        <v>9</v>
      </c>
      <c r="S46" s="67">
        <v>9</v>
      </c>
      <c r="T46" s="67">
        <v>9</v>
      </c>
      <c r="U46" s="67">
        <v>9</v>
      </c>
      <c r="V46" s="67">
        <v>9</v>
      </c>
      <c r="W46" s="67">
        <v>9</v>
      </c>
      <c r="X46" s="67">
        <v>9</v>
      </c>
      <c r="Y46" s="67">
        <v>9</v>
      </c>
      <c r="Z46" s="67">
        <v>9</v>
      </c>
      <c r="AA46" s="67">
        <v>9</v>
      </c>
      <c r="AB46" s="67">
        <v>9</v>
      </c>
      <c r="AC46" s="67">
        <v>9</v>
      </c>
      <c r="AD46" s="67">
        <v>9</v>
      </c>
      <c r="AE46" s="67">
        <v>9</v>
      </c>
      <c r="AF46" s="67">
        <v>9</v>
      </c>
      <c r="AG46" s="67">
        <v>9</v>
      </c>
    </row>
    <row r="47" spans="1:33">
      <c r="A47">
        <v>223</v>
      </c>
      <c r="B47" t="s">
        <v>42</v>
      </c>
    </row>
    <row r="48" spans="1:33">
      <c r="A48">
        <v>225</v>
      </c>
      <c r="B48" t="s">
        <v>43</v>
      </c>
      <c r="C48" s="534">
        <v>10</v>
      </c>
      <c r="D48" s="534">
        <v>10</v>
      </c>
      <c r="E48" s="534">
        <v>10</v>
      </c>
      <c r="F48" s="534">
        <v>10</v>
      </c>
      <c r="G48" s="534">
        <v>10</v>
      </c>
      <c r="H48" s="534">
        <v>10</v>
      </c>
      <c r="I48" s="534">
        <v>10</v>
      </c>
      <c r="J48" s="534">
        <v>10</v>
      </c>
      <c r="K48" s="534">
        <v>10</v>
      </c>
      <c r="L48" s="534">
        <v>10</v>
      </c>
      <c r="M48" s="534">
        <v>10</v>
      </c>
      <c r="N48" s="68">
        <v>10</v>
      </c>
      <c r="O48" s="68">
        <v>10</v>
      </c>
      <c r="P48" s="68">
        <v>10</v>
      </c>
      <c r="Q48" s="68">
        <v>10</v>
      </c>
      <c r="R48" s="68">
        <v>10</v>
      </c>
      <c r="S48" s="68">
        <v>10</v>
      </c>
      <c r="T48" s="68">
        <v>10</v>
      </c>
      <c r="U48" s="68">
        <v>10</v>
      </c>
      <c r="V48" s="68">
        <v>10</v>
      </c>
      <c r="W48" s="68">
        <v>10</v>
      </c>
      <c r="X48" s="68">
        <v>10</v>
      </c>
      <c r="Y48" s="68">
        <v>10</v>
      </c>
      <c r="Z48" s="68">
        <v>10</v>
      </c>
      <c r="AA48" s="68">
        <v>10</v>
      </c>
      <c r="AB48" s="68">
        <v>10</v>
      </c>
      <c r="AC48" s="68">
        <v>10</v>
      </c>
      <c r="AD48" s="68">
        <v>10</v>
      </c>
      <c r="AE48" s="68">
        <v>10</v>
      </c>
      <c r="AF48" s="68">
        <v>10</v>
      </c>
      <c r="AG48" s="68">
        <v>10</v>
      </c>
    </row>
    <row r="49" spans="1:33">
      <c r="A49">
        <v>230</v>
      </c>
      <c r="B49" t="s">
        <v>44</v>
      </c>
      <c r="C49" s="534">
        <v>9</v>
      </c>
      <c r="D49" s="534">
        <v>9</v>
      </c>
      <c r="E49" s="534">
        <v>10</v>
      </c>
      <c r="F49" s="534">
        <v>10</v>
      </c>
      <c r="G49" s="534">
        <v>10</v>
      </c>
      <c r="H49" s="534">
        <v>10</v>
      </c>
      <c r="I49" s="534">
        <v>10</v>
      </c>
      <c r="J49" s="534">
        <v>10</v>
      </c>
      <c r="K49" s="534">
        <v>10</v>
      </c>
      <c r="L49" s="534">
        <v>10</v>
      </c>
      <c r="M49" s="534">
        <v>10</v>
      </c>
      <c r="N49" s="69">
        <v>10</v>
      </c>
      <c r="O49" s="69">
        <v>10</v>
      </c>
      <c r="P49" s="69">
        <v>10</v>
      </c>
      <c r="Q49" s="69">
        <v>10</v>
      </c>
      <c r="R49" s="69">
        <v>10</v>
      </c>
      <c r="S49" s="69">
        <v>10</v>
      </c>
      <c r="T49" s="69">
        <v>10</v>
      </c>
      <c r="U49" s="69">
        <v>10</v>
      </c>
      <c r="V49" s="69">
        <v>10</v>
      </c>
      <c r="W49" s="69">
        <v>10</v>
      </c>
      <c r="X49" s="69">
        <v>10</v>
      </c>
      <c r="Y49" s="69">
        <v>10</v>
      </c>
      <c r="Z49" s="69">
        <v>10</v>
      </c>
      <c r="AA49" s="69">
        <v>10</v>
      </c>
      <c r="AB49" s="69">
        <v>10</v>
      </c>
      <c r="AC49" s="69">
        <v>10</v>
      </c>
      <c r="AD49" s="69">
        <v>10</v>
      </c>
      <c r="AE49" s="69">
        <v>10</v>
      </c>
      <c r="AF49" s="69">
        <v>10</v>
      </c>
      <c r="AG49" s="69">
        <v>10</v>
      </c>
    </row>
    <row r="50" spans="1:33">
      <c r="A50">
        <v>235</v>
      </c>
      <c r="B50" t="s">
        <v>46</v>
      </c>
      <c r="C50" s="534">
        <v>9</v>
      </c>
      <c r="D50" s="534">
        <v>9</v>
      </c>
      <c r="E50" s="534">
        <v>10</v>
      </c>
      <c r="F50" s="534">
        <v>10</v>
      </c>
      <c r="G50" s="534">
        <v>10</v>
      </c>
      <c r="H50" s="534">
        <v>10</v>
      </c>
      <c r="I50" s="534">
        <v>10</v>
      </c>
      <c r="J50" s="534">
        <v>10</v>
      </c>
      <c r="K50" s="534">
        <v>10</v>
      </c>
      <c r="L50" s="534">
        <v>10</v>
      </c>
      <c r="M50" s="534">
        <v>10</v>
      </c>
      <c r="N50" s="70">
        <v>10</v>
      </c>
      <c r="O50" s="70">
        <v>10</v>
      </c>
      <c r="P50" s="70">
        <v>10</v>
      </c>
      <c r="Q50" s="70">
        <v>10</v>
      </c>
      <c r="R50" s="70">
        <v>10</v>
      </c>
      <c r="S50" s="70">
        <v>10</v>
      </c>
      <c r="T50" s="70">
        <v>10</v>
      </c>
      <c r="U50" s="70">
        <v>10</v>
      </c>
      <c r="V50" s="70">
        <v>10</v>
      </c>
      <c r="W50" s="70">
        <v>10</v>
      </c>
      <c r="X50" s="70">
        <v>10</v>
      </c>
      <c r="Y50" s="70">
        <v>10</v>
      </c>
      <c r="Z50" s="70">
        <v>10</v>
      </c>
      <c r="AA50" s="70">
        <v>10</v>
      </c>
      <c r="AB50" s="70">
        <v>10</v>
      </c>
      <c r="AC50" s="70">
        <v>10</v>
      </c>
      <c r="AD50" s="70">
        <v>10</v>
      </c>
      <c r="AE50" s="70">
        <v>10</v>
      </c>
      <c r="AF50" s="70">
        <v>10</v>
      </c>
      <c r="AG50" s="70">
        <v>10</v>
      </c>
    </row>
    <row r="51" spans="1:33">
      <c r="A51">
        <v>255</v>
      </c>
      <c r="B51" t="s">
        <v>47</v>
      </c>
      <c r="M51" s="534">
        <v>10</v>
      </c>
      <c r="N51" s="71">
        <v>10</v>
      </c>
      <c r="O51" s="71">
        <v>10</v>
      </c>
      <c r="P51" s="71">
        <v>10</v>
      </c>
      <c r="Q51" s="71">
        <v>10</v>
      </c>
      <c r="R51" s="71">
        <v>10</v>
      </c>
      <c r="S51" s="71">
        <v>10</v>
      </c>
      <c r="T51" s="71">
        <v>10</v>
      </c>
      <c r="U51" s="71">
        <v>10</v>
      </c>
      <c r="V51" s="71">
        <v>10</v>
      </c>
      <c r="W51" s="71">
        <v>10</v>
      </c>
      <c r="X51" s="71">
        <v>10</v>
      </c>
      <c r="Y51" s="71">
        <v>10</v>
      </c>
      <c r="Z51" s="71">
        <v>10</v>
      </c>
      <c r="AA51" s="71">
        <v>10</v>
      </c>
      <c r="AB51" s="71">
        <v>10</v>
      </c>
      <c r="AC51" s="71">
        <v>10</v>
      </c>
      <c r="AD51" s="71">
        <v>10</v>
      </c>
      <c r="AE51" s="71">
        <v>10</v>
      </c>
      <c r="AF51" s="71">
        <v>10</v>
      </c>
      <c r="AG51" s="71">
        <v>10</v>
      </c>
    </row>
    <row r="52" spans="1:33">
      <c r="A52">
        <v>265</v>
      </c>
      <c r="B52" t="s">
        <v>403</v>
      </c>
      <c r="C52" s="534">
        <v>-9</v>
      </c>
      <c r="D52" s="534">
        <v>-9</v>
      </c>
      <c r="E52" s="534">
        <v>-9</v>
      </c>
      <c r="F52" s="534">
        <v>-9</v>
      </c>
      <c r="G52" s="534">
        <v>-9</v>
      </c>
      <c r="H52" s="534">
        <v>-9</v>
      </c>
      <c r="I52" s="534">
        <v>-9</v>
      </c>
      <c r="J52" s="534">
        <v>-9</v>
      </c>
      <c r="K52" s="534">
        <v>-9</v>
      </c>
    </row>
    <row r="53" spans="1:33">
      <c r="A53">
        <v>290</v>
      </c>
      <c r="B53" t="s">
        <v>48</v>
      </c>
      <c r="C53" s="534">
        <v>-6</v>
      </c>
      <c r="D53" s="534">
        <v>-8</v>
      </c>
      <c r="E53" s="534">
        <v>-8</v>
      </c>
      <c r="F53" s="534">
        <v>-7</v>
      </c>
      <c r="G53" s="534">
        <v>-7</v>
      </c>
      <c r="H53" s="534">
        <v>-7</v>
      </c>
      <c r="I53" s="534">
        <v>-7</v>
      </c>
      <c r="J53" s="534">
        <v>-6</v>
      </c>
      <c r="K53" s="534">
        <v>-6</v>
      </c>
      <c r="L53" s="534">
        <v>5</v>
      </c>
      <c r="M53" s="534">
        <v>5</v>
      </c>
      <c r="N53" s="72">
        <v>8</v>
      </c>
      <c r="O53" s="72">
        <v>8</v>
      </c>
      <c r="P53" s="72">
        <v>8</v>
      </c>
      <c r="Q53" s="72">
        <v>8</v>
      </c>
      <c r="R53" s="72">
        <v>9</v>
      </c>
      <c r="S53" s="72">
        <v>9</v>
      </c>
      <c r="T53" s="72">
        <v>9</v>
      </c>
      <c r="U53" s="72">
        <v>9</v>
      </c>
      <c r="V53" s="72">
        <v>9</v>
      </c>
      <c r="W53" s="72">
        <v>9</v>
      </c>
      <c r="X53" s="72">
        <v>9</v>
      </c>
      <c r="Y53" s="72">
        <v>10</v>
      </c>
      <c r="Z53" s="72">
        <v>10</v>
      </c>
      <c r="AA53" s="72">
        <v>10</v>
      </c>
      <c r="AB53" s="72">
        <v>10</v>
      </c>
      <c r="AC53" s="72">
        <v>10</v>
      </c>
      <c r="AD53" s="72">
        <v>10</v>
      </c>
      <c r="AE53" s="72">
        <v>10</v>
      </c>
      <c r="AF53" s="72">
        <v>10</v>
      </c>
      <c r="AG53" s="72">
        <v>10</v>
      </c>
    </row>
    <row r="54" spans="1:33">
      <c r="A54">
        <v>305</v>
      </c>
      <c r="B54" t="s">
        <v>49</v>
      </c>
      <c r="C54" s="534">
        <v>10</v>
      </c>
      <c r="D54" s="534">
        <v>10</v>
      </c>
      <c r="E54" s="534">
        <v>10</v>
      </c>
      <c r="F54" s="534">
        <v>10</v>
      </c>
      <c r="G54" s="534">
        <v>10</v>
      </c>
      <c r="H54" s="534">
        <v>10</v>
      </c>
      <c r="I54" s="534">
        <v>10</v>
      </c>
      <c r="J54" s="534">
        <v>10</v>
      </c>
      <c r="K54" s="534">
        <v>10</v>
      </c>
      <c r="L54" s="534">
        <v>10</v>
      </c>
      <c r="M54" s="534">
        <v>10</v>
      </c>
      <c r="N54" s="73">
        <v>10</v>
      </c>
      <c r="O54" s="73">
        <v>10</v>
      </c>
      <c r="P54" s="73">
        <v>10</v>
      </c>
      <c r="Q54" s="73">
        <v>10</v>
      </c>
      <c r="R54" s="73">
        <v>10</v>
      </c>
      <c r="S54" s="73">
        <v>10</v>
      </c>
      <c r="T54" s="73">
        <v>10</v>
      </c>
      <c r="U54" s="73">
        <v>10</v>
      </c>
      <c r="V54" s="73">
        <v>10</v>
      </c>
      <c r="W54" s="73">
        <v>10</v>
      </c>
      <c r="X54" s="73">
        <v>10</v>
      </c>
      <c r="Y54" s="73">
        <v>10</v>
      </c>
      <c r="Z54" s="73">
        <v>10</v>
      </c>
      <c r="AA54" s="73">
        <v>10</v>
      </c>
      <c r="AB54" s="73">
        <v>10</v>
      </c>
      <c r="AC54" s="73">
        <v>10</v>
      </c>
      <c r="AD54" s="73">
        <v>10</v>
      </c>
      <c r="AE54" s="73">
        <v>10</v>
      </c>
      <c r="AF54" s="73">
        <v>10</v>
      </c>
      <c r="AG54" s="73">
        <v>10</v>
      </c>
    </row>
    <row r="55" spans="1:33">
      <c r="A55">
        <v>310</v>
      </c>
      <c r="B55" t="s">
        <v>50</v>
      </c>
      <c r="C55" s="534">
        <v>-7</v>
      </c>
      <c r="D55" s="534">
        <v>-7</v>
      </c>
      <c r="E55" s="534">
        <v>-7</v>
      </c>
      <c r="F55" s="534">
        <v>-7</v>
      </c>
      <c r="G55" s="534">
        <v>-7</v>
      </c>
      <c r="H55" s="534">
        <v>-7</v>
      </c>
      <c r="I55" s="534">
        <v>-7</v>
      </c>
      <c r="J55" s="534">
        <v>-7</v>
      </c>
      <c r="K55" s="534">
        <v>-2</v>
      </c>
      <c r="L55" s="534">
        <v>4</v>
      </c>
      <c r="M55" s="534">
        <v>10</v>
      </c>
      <c r="N55" s="74">
        <v>10</v>
      </c>
      <c r="O55" s="74">
        <v>10</v>
      </c>
      <c r="P55" s="74">
        <v>10</v>
      </c>
      <c r="Q55" s="74">
        <v>10</v>
      </c>
      <c r="R55" s="74">
        <v>10</v>
      </c>
      <c r="S55" s="74">
        <v>10</v>
      </c>
      <c r="T55" s="74">
        <v>10</v>
      </c>
      <c r="U55" s="74">
        <v>10</v>
      </c>
      <c r="V55" s="74">
        <v>10</v>
      </c>
      <c r="W55" s="74">
        <v>10</v>
      </c>
      <c r="X55" s="74">
        <v>10</v>
      </c>
      <c r="Y55" s="74">
        <v>10</v>
      </c>
      <c r="Z55" s="74">
        <v>10</v>
      </c>
      <c r="AA55" s="74">
        <v>10</v>
      </c>
      <c r="AB55" s="74">
        <v>10</v>
      </c>
      <c r="AC55" s="74">
        <v>10</v>
      </c>
      <c r="AD55" s="74">
        <v>10</v>
      </c>
      <c r="AE55" s="74">
        <v>10</v>
      </c>
      <c r="AF55" s="74">
        <v>10</v>
      </c>
      <c r="AG55" s="74">
        <v>10</v>
      </c>
    </row>
    <row r="56" spans="1:33">
      <c r="A56">
        <v>315</v>
      </c>
      <c r="B56" t="s">
        <v>198</v>
      </c>
      <c r="C56" s="534">
        <v>-7</v>
      </c>
      <c r="D56" s="534">
        <v>-7</v>
      </c>
      <c r="E56" s="534">
        <v>-7</v>
      </c>
      <c r="F56" s="534">
        <v>-7</v>
      </c>
      <c r="G56" s="534">
        <v>-7</v>
      </c>
      <c r="H56" s="534">
        <v>-7</v>
      </c>
      <c r="I56" s="534">
        <v>-7</v>
      </c>
      <c r="J56" s="534">
        <v>-7</v>
      </c>
      <c r="K56" s="534">
        <v>-7</v>
      </c>
      <c r="L56" s="534">
        <v>-6</v>
      </c>
      <c r="M56" s="534">
        <v>8</v>
      </c>
      <c r="N56">
        <v>8</v>
      </c>
      <c r="O56">
        <v>8</v>
      </c>
    </row>
    <row r="57" spans="1:33">
      <c r="A57">
        <v>316</v>
      </c>
      <c r="B57" t="s">
        <v>51</v>
      </c>
      <c r="N57" s="75"/>
      <c r="O57" s="75"/>
      <c r="P57" s="75">
        <v>10</v>
      </c>
      <c r="Q57" s="75">
        <v>10</v>
      </c>
      <c r="R57" s="75">
        <v>10</v>
      </c>
      <c r="S57" s="75">
        <v>10</v>
      </c>
      <c r="T57" s="75">
        <v>10</v>
      </c>
      <c r="U57" s="75">
        <v>10</v>
      </c>
      <c r="V57" s="75">
        <v>10</v>
      </c>
      <c r="W57" s="75">
        <v>10</v>
      </c>
      <c r="X57" s="75">
        <v>10</v>
      </c>
      <c r="Y57" s="75">
        <v>10</v>
      </c>
      <c r="Z57" s="75">
        <v>10</v>
      </c>
      <c r="AA57" s="75">
        <v>10</v>
      </c>
      <c r="AB57" s="75">
        <v>10</v>
      </c>
      <c r="AC57" s="75">
        <v>8</v>
      </c>
      <c r="AD57" s="75">
        <v>8</v>
      </c>
      <c r="AE57" s="75">
        <v>8</v>
      </c>
      <c r="AF57" s="75">
        <v>8</v>
      </c>
      <c r="AG57" s="75">
        <v>8</v>
      </c>
    </row>
    <row r="58" spans="1:33">
      <c r="A58">
        <v>317</v>
      </c>
      <c r="B58" t="s">
        <v>52</v>
      </c>
      <c r="P58" s="76">
        <v>7</v>
      </c>
      <c r="Q58" s="76">
        <v>7</v>
      </c>
      <c r="R58" s="76">
        <v>7</v>
      </c>
      <c r="S58" s="76">
        <v>7</v>
      </c>
      <c r="T58" s="76">
        <v>7</v>
      </c>
      <c r="U58" s="76">
        <v>9</v>
      </c>
      <c r="V58" s="76">
        <v>9</v>
      </c>
      <c r="W58" s="76">
        <v>9</v>
      </c>
      <c r="X58" s="76">
        <v>9</v>
      </c>
      <c r="Y58" s="76">
        <v>9</v>
      </c>
      <c r="Z58" s="76">
        <v>9</v>
      </c>
      <c r="AA58" s="76">
        <v>9</v>
      </c>
      <c r="AB58" s="76">
        <v>9</v>
      </c>
      <c r="AC58" s="76">
        <v>10</v>
      </c>
      <c r="AD58" s="76">
        <v>10</v>
      </c>
      <c r="AE58" s="76">
        <v>10</v>
      </c>
      <c r="AF58" s="76">
        <v>10</v>
      </c>
      <c r="AG58" s="76">
        <v>10</v>
      </c>
    </row>
    <row r="59" spans="1:33">
      <c r="A59">
        <v>325</v>
      </c>
      <c r="B59" t="s">
        <v>53</v>
      </c>
      <c r="C59" s="534">
        <v>10</v>
      </c>
      <c r="D59" s="534">
        <v>10</v>
      </c>
      <c r="E59" s="534">
        <v>10</v>
      </c>
      <c r="F59" s="534">
        <v>10</v>
      </c>
      <c r="G59" s="534">
        <v>10</v>
      </c>
      <c r="H59" s="534">
        <v>10</v>
      </c>
      <c r="I59" s="534">
        <v>10</v>
      </c>
      <c r="J59" s="534">
        <v>10</v>
      </c>
      <c r="K59" s="534">
        <v>10</v>
      </c>
      <c r="L59" s="534">
        <v>10</v>
      </c>
      <c r="M59" s="534">
        <v>10</v>
      </c>
      <c r="N59" s="77">
        <v>10</v>
      </c>
      <c r="O59" s="77">
        <v>10</v>
      </c>
      <c r="P59" s="77">
        <v>10</v>
      </c>
      <c r="Q59" s="77">
        <v>10</v>
      </c>
      <c r="R59" s="77">
        <v>10</v>
      </c>
      <c r="S59" s="77">
        <v>10</v>
      </c>
      <c r="T59" s="77">
        <v>10</v>
      </c>
      <c r="U59" s="77">
        <v>10</v>
      </c>
      <c r="V59" s="77">
        <v>10</v>
      </c>
      <c r="W59" s="77">
        <v>10</v>
      </c>
      <c r="X59" s="77">
        <v>10</v>
      </c>
      <c r="Y59" s="77">
        <v>10</v>
      </c>
      <c r="Z59" s="77">
        <v>10</v>
      </c>
      <c r="AA59" s="77">
        <v>10</v>
      </c>
      <c r="AB59" s="77">
        <v>10</v>
      </c>
      <c r="AC59" s="77">
        <v>10</v>
      </c>
      <c r="AD59" s="77">
        <v>10</v>
      </c>
      <c r="AE59" s="77">
        <v>10</v>
      </c>
      <c r="AF59" s="77">
        <v>10</v>
      </c>
      <c r="AG59" s="77">
        <v>10</v>
      </c>
    </row>
    <row r="60" spans="1:33">
      <c r="A60">
        <v>338</v>
      </c>
      <c r="B60" t="s">
        <v>55</v>
      </c>
    </row>
    <row r="61" spans="1:33">
      <c r="A61">
        <v>339</v>
      </c>
      <c r="B61" t="s">
        <v>56</v>
      </c>
      <c r="C61" s="534">
        <v>-9</v>
      </c>
      <c r="D61" s="534">
        <v>-9</v>
      </c>
      <c r="E61" s="534">
        <v>-9</v>
      </c>
      <c r="F61" s="534">
        <v>-9</v>
      </c>
      <c r="G61" s="534">
        <v>-9</v>
      </c>
      <c r="H61" s="534">
        <v>-9</v>
      </c>
      <c r="I61" s="534">
        <v>-9</v>
      </c>
      <c r="J61" s="534">
        <v>-9</v>
      </c>
      <c r="K61" s="534">
        <v>-9</v>
      </c>
      <c r="L61" s="534">
        <v>-9</v>
      </c>
      <c r="M61" s="534">
        <v>1</v>
      </c>
      <c r="N61" s="78">
        <v>1</v>
      </c>
      <c r="O61" s="78">
        <v>5</v>
      </c>
      <c r="P61" s="78">
        <v>5</v>
      </c>
      <c r="Q61" s="78">
        <v>5</v>
      </c>
      <c r="R61" s="78">
        <v>5</v>
      </c>
      <c r="S61" s="78">
        <v>0</v>
      </c>
      <c r="T61" s="78">
        <v>5</v>
      </c>
      <c r="U61" s="78">
        <v>5</v>
      </c>
      <c r="V61" s="78">
        <v>5</v>
      </c>
      <c r="W61" s="78">
        <v>5</v>
      </c>
      <c r="X61" s="78">
        <v>5</v>
      </c>
      <c r="Y61" s="78">
        <v>7</v>
      </c>
      <c r="Z61" s="78">
        <v>7</v>
      </c>
      <c r="AA61" s="78">
        <v>7</v>
      </c>
      <c r="AB61" s="78">
        <v>9</v>
      </c>
      <c r="AC61" s="78">
        <v>9</v>
      </c>
      <c r="AD61" s="78">
        <v>9</v>
      </c>
      <c r="AE61" s="78">
        <v>9</v>
      </c>
      <c r="AF61" s="78">
        <v>9</v>
      </c>
      <c r="AG61" s="78">
        <v>9</v>
      </c>
    </row>
    <row r="62" spans="1:33">
      <c r="A62">
        <v>341</v>
      </c>
      <c r="B62" t="s">
        <v>193</v>
      </c>
    </row>
    <row r="63" spans="1:33">
      <c r="A63">
        <v>343</v>
      </c>
      <c r="B63" t="s">
        <v>57</v>
      </c>
      <c r="N63" s="79">
        <v>6</v>
      </c>
      <c r="O63" s="79">
        <v>6</v>
      </c>
      <c r="P63" s="79">
        <v>6</v>
      </c>
      <c r="Q63" s="79">
        <v>6</v>
      </c>
      <c r="R63" s="79">
        <v>6</v>
      </c>
      <c r="S63" s="79">
        <v>6</v>
      </c>
      <c r="T63" s="79">
        <v>6</v>
      </c>
      <c r="U63" s="79">
        <v>6</v>
      </c>
      <c r="V63" s="79">
        <v>6</v>
      </c>
      <c r="W63" s="79">
        <v>6</v>
      </c>
      <c r="X63" s="79">
        <v>6</v>
      </c>
      <c r="Y63" s="79">
        <v>9</v>
      </c>
      <c r="Z63" s="79">
        <v>9</v>
      </c>
      <c r="AA63" s="79">
        <v>9</v>
      </c>
      <c r="AB63" s="79">
        <v>9</v>
      </c>
      <c r="AC63" s="79">
        <v>9</v>
      </c>
      <c r="AD63" s="79">
        <v>9</v>
      </c>
      <c r="AE63" s="79">
        <v>9</v>
      </c>
      <c r="AF63" s="79">
        <v>9</v>
      </c>
      <c r="AG63" s="79">
        <v>9</v>
      </c>
    </row>
    <row r="64" spans="1:33">
      <c r="A64">
        <v>344</v>
      </c>
      <c r="B64" t="s">
        <v>58</v>
      </c>
      <c r="N64" s="80">
        <v>-3</v>
      </c>
      <c r="O64" s="80">
        <v>-3</v>
      </c>
      <c r="P64" s="80">
        <v>-3</v>
      </c>
      <c r="Q64" s="80">
        <v>-3</v>
      </c>
      <c r="R64" s="80">
        <v>-5</v>
      </c>
      <c r="S64" s="80">
        <v>-5</v>
      </c>
      <c r="T64" s="80">
        <v>-5</v>
      </c>
      <c r="U64" s="80">
        <v>-5</v>
      </c>
      <c r="V64" s="80">
        <v>1</v>
      </c>
      <c r="W64" s="80">
        <v>8</v>
      </c>
      <c r="X64" s="80">
        <v>8</v>
      </c>
      <c r="Y64" s="80">
        <v>8</v>
      </c>
      <c r="Z64" s="80">
        <v>8</v>
      </c>
      <c r="AA64" s="80">
        <v>8</v>
      </c>
      <c r="AB64" s="80">
        <v>9</v>
      </c>
      <c r="AC64" s="80">
        <v>9</v>
      </c>
      <c r="AD64" s="80">
        <v>9</v>
      </c>
      <c r="AE64" s="80">
        <v>9</v>
      </c>
      <c r="AF64" s="80">
        <v>9</v>
      </c>
      <c r="AG64" s="80">
        <v>9</v>
      </c>
    </row>
    <row r="65" spans="1:33">
      <c r="A65">
        <v>345</v>
      </c>
      <c r="B65" t="s">
        <v>59</v>
      </c>
      <c r="C65" s="534">
        <v>-5</v>
      </c>
      <c r="D65" s="534">
        <v>-5</v>
      </c>
      <c r="E65" s="534">
        <v>-5</v>
      </c>
      <c r="F65" s="534">
        <v>-5</v>
      </c>
      <c r="G65" s="534">
        <v>-5</v>
      </c>
      <c r="H65" s="534">
        <v>-5</v>
      </c>
      <c r="I65" s="534">
        <v>-5</v>
      </c>
      <c r="J65" s="534">
        <v>-5</v>
      </c>
      <c r="K65" s="534">
        <v>-5</v>
      </c>
      <c r="L65" s="534">
        <v>-5</v>
      </c>
      <c r="M65" s="534">
        <v>-5</v>
      </c>
      <c r="N65" s="81">
        <v>-5</v>
      </c>
      <c r="O65" s="81">
        <v>-5</v>
      </c>
      <c r="P65" s="81">
        <v>-7</v>
      </c>
      <c r="Q65" s="81">
        <v>-7</v>
      </c>
      <c r="R65" s="81">
        <v>-7</v>
      </c>
      <c r="S65" s="81">
        <v>-7</v>
      </c>
      <c r="T65" s="81">
        <v>-6</v>
      </c>
      <c r="U65" s="81">
        <v>-6</v>
      </c>
      <c r="V65" s="81">
        <v>-6</v>
      </c>
      <c r="W65" s="81">
        <v>7</v>
      </c>
      <c r="X65" s="81">
        <v>7</v>
      </c>
      <c r="Y65" s="81">
        <v>7</v>
      </c>
      <c r="Z65" s="81">
        <v>6</v>
      </c>
      <c r="AA65" s="81">
        <v>6</v>
      </c>
      <c r="AB65" s="81">
        <v>6</v>
      </c>
      <c r="AC65" s="81">
        <v>6</v>
      </c>
      <c r="AD65">
        <v>8</v>
      </c>
      <c r="AE65">
        <v>8</v>
      </c>
      <c r="AF65">
        <v>8</v>
      </c>
      <c r="AG65">
        <v>8</v>
      </c>
    </row>
    <row r="66" spans="1:33">
      <c r="A66">
        <v>346</v>
      </c>
      <c r="B66" t="s">
        <v>60</v>
      </c>
      <c r="O66">
        <v>0</v>
      </c>
      <c r="P66">
        <v>0</v>
      </c>
      <c r="Q66">
        <v>0</v>
      </c>
    </row>
    <row r="67" spans="1:33">
      <c r="A67">
        <v>347</v>
      </c>
      <c r="B67" t="s">
        <v>196</v>
      </c>
      <c r="AE67">
        <v>8</v>
      </c>
      <c r="AF67">
        <v>8</v>
      </c>
      <c r="AG67">
        <v>8</v>
      </c>
    </row>
    <row r="68" spans="1:33" s="81" customFormat="1">
      <c r="A68" s="81">
        <v>348</v>
      </c>
      <c r="B68" s="81" t="s">
        <v>425</v>
      </c>
      <c r="C68" s="534"/>
      <c r="D68" s="534"/>
      <c r="E68" s="534"/>
      <c r="F68" s="534"/>
      <c r="G68" s="534"/>
      <c r="H68" s="534"/>
      <c r="I68" s="534"/>
      <c r="J68" s="534"/>
      <c r="K68" s="534"/>
      <c r="L68" s="534"/>
      <c r="M68" s="534"/>
      <c r="AC68" s="81">
        <v>9</v>
      </c>
      <c r="AD68" s="81">
        <v>9</v>
      </c>
      <c r="AE68" s="81">
        <v>9</v>
      </c>
      <c r="AF68" s="81">
        <v>9</v>
      </c>
      <c r="AG68" s="81">
        <v>9</v>
      </c>
    </row>
    <row r="69" spans="1:33">
      <c r="A69">
        <v>349</v>
      </c>
      <c r="B69" t="s">
        <v>61</v>
      </c>
      <c r="N69" s="82">
        <v>10</v>
      </c>
      <c r="O69" s="82">
        <v>10</v>
      </c>
      <c r="P69" s="82">
        <v>10</v>
      </c>
      <c r="Q69" s="82">
        <v>10</v>
      </c>
      <c r="R69" s="82">
        <v>10</v>
      </c>
      <c r="S69" s="82">
        <v>10</v>
      </c>
      <c r="T69" s="82">
        <v>10</v>
      </c>
      <c r="U69" s="82">
        <v>10</v>
      </c>
      <c r="V69" s="82">
        <v>10</v>
      </c>
      <c r="W69" s="82">
        <v>10</v>
      </c>
      <c r="X69" s="82">
        <v>10</v>
      </c>
      <c r="Y69" s="82">
        <v>10</v>
      </c>
      <c r="Z69" s="82">
        <v>10</v>
      </c>
      <c r="AA69" s="82">
        <v>10</v>
      </c>
      <c r="AB69" s="82">
        <v>10</v>
      </c>
      <c r="AC69" s="82">
        <v>10</v>
      </c>
      <c r="AD69" s="82">
        <v>10</v>
      </c>
      <c r="AE69" s="82">
        <v>10</v>
      </c>
      <c r="AF69" s="82">
        <v>10</v>
      </c>
      <c r="AG69" s="82">
        <v>10</v>
      </c>
    </row>
    <row r="70" spans="1:33">
      <c r="A70">
        <v>350</v>
      </c>
      <c r="B70" t="s">
        <v>62</v>
      </c>
      <c r="C70" s="534">
        <v>8</v>
      </c>
      <c r="D70" s="534">
        <v>8</v>
      </c>
      <c r="E70" s="534">
        <v>8</v>
      </c>
      <c r="F70" s="534">
        <v>8</v>
      </c>
      <c r="G70" s="534">
        <v>8</v>
      </c>
      <c r="H70" s="534">
        <v>8</v>
      </c>
      <c r="I70" s="534">
        <v>10</v>
      </c>
      <c r="J70" s="534">
        <v>10</v>
      </c>
      <c r="K70" s="534">
        <v>10</v>
      </c>
      <c r="L70" s="534">
        <v>10</v>
      </c>
      <c r="M70" s="534">
        <v>10</v>
      </c>
      <c r="N70" s="83">
        <v>10</v>
      </c>
      <c r="O70" s="83">
        <v>10</v>
      </c>
      <c r="P70" s="83">
        <v>10</v>
      </c>
      <c r="Q70" s="83">
        <v>10</v>
      </c>
      <c r="R70" s="83">
        <v>10</v>
      </c>
      <c r="S70" s="83">
        <v>10</v>
      </c>
      <c r="T70" s="83">
        <v>10</v>
      </c>
      <c r="U70" s="83">
        <v>10</v>
      </c>
      <c r="V70" s="83">
        <v>10</v>
      </c>
      <c r="W70" s="83">
        <v>10</v>
      </c>
      <c r="X70" s="83">
        <v>10</v>
      </c>
      <c r="Y70" s="83">
        <v>10</v>
      </c>
      <c r="Z70" s="83">
        <v>10</v>
      </c>
      <c r="AA70" s="83">
        <v>10</v>
      </c>
      <c r="AB70" s="83">
        <v>10</v>
      </c>
      <c r="AC70" s="83">
        <v>10</v>
      </c>
      <c r="AD70" s="83">
        <v>10</v>
      </c>
      <c r="AE70" s="83">
        <v>10</v>
      </c>
      <c r="AF70" s="83">
        <v>10</v>
      </c>
      <c r="AG70" s="83">
        <v>10</v>
      </c>
    </row>
    <row r="71" spans="1:33">
      <c r="A71">
        <v>352</v>
      </c>
      <c r="B71" t="s">
        <v>63</v>
      </c>
      <c r="C71" s="534">
        <v>10</v>
      </c>
      <c r="D71" s="534">
        <v>10</v>
      </c>
      <c r="E71" s="534">
        <v>10</v>
      </c>
      <c r="F71" s="534">
        <v>10</v>
      </c>
      <c r="G71" s="534">
        <v>10</v>
      </c>
      <c r="H71" s="534">
        <v>10</v>
      </c>
      <c r="I71" s="534">
        <v>10</v>
      </c>
      <c r="J71" s="534">
        <v>10</v>
      </c>
      <c r="K71" s="534">
        <v>10</v>
      </c>
      <c r="L71" s="534">
        <v>10</v>
      </c>
      <c r="M71" s="534">
        <v>10</v>
      </c>
      <c r="N71" s="84">
        <v>10</v>
      </c>
      <c r="O71" s="84">
        <v>10</v>
      </c>
      <c r="P71" s="84">
        <v>10</v>
      </c>
      <c r="Q71" s="84">
        <v>10</v>
      </c>
      <c r="R71" s="84">
        <v>10</v>
      </c>
      <c r="S71" s="84">
        <v>10</v>
      </c>
      <c r="T71" s="84">
        <v>10</v>
      </c>
      <c r="U71" s="84">
        <v>10</v>
      </c>
      <c r="V71" s="84">
        <v>10</v>
      </c>
      <c r="W71" s="84">
        <v>10</v>
      </c>
      <c r="X71" s="84">
        <v>10</v>
      </c>
      <c r="Y71" s="84">
        <v>10</v>
      </c>
      <c r="Z71" s="84">
        <v>10</v>
      </c>
      <c r="AA71" s="84">
        <v>10</v>
      </c>
      <c r="AB71" s="84">
        <v>10</v>
      </c>
      <c r="AC71" s="84">
        <v>10</v>
      </c>
      <c r="AD71" s="84">
        <v>10</v>
      </c>
      <c r="AE71" s="84">
        <v>10</v>
      </c>
      <c r="AF71" s="84">
        <v>10</v>
      </c>
      <c r="AG71" s="84">
        <v>10</v>
      </c>
    </row>
    <row r="72" spans="1:33">
      <c r="A72">
        <v>355</v>
      </c>
      <c r="B72" t="s">
        <v>64</v>
      </c>
      <c r="C72" s="534">
        <v>-7</v>
      </c>
      <c r="D72" s="534">
        <v>-7</v>
      </c>
      <c r="E72" s="534">
        <v>-7</v>
      </c>
      <c r="F72" s="534">
        <v>-7</v>
      </c>
      <c r="G72" s="534">
        <v>-7</v>
      </c>
      <c r="H72" s="534">
        <v>-7</v>
      </c>
      <c r="I72" s="534">
        <v>-7</v>
      </c>
      <c r="J72" s="534">
        <v>-7</v>
      </c>
      <c r="K72" s="534">
        <v>-7</v>
      </c>
      <c r="L72" s="534">
        <v>-7</v>
      </c>
      <c r="M72" s="534">
        <v>8</v>
      </c>
      <c r="N72" s="85">
        <v>8</v>
      </c>
      <c r="O72" s="85">
        <v>8</v>
      </c>
      <c r="P72" s="85">
        <v>8</v>
      </c>
      <c r="Q72" s="85">
        <v>8</v>
      </c>
      <c r="R72" s="85">
        <v>8</v>
      </c>
      <c r="S72" s="85">
        <v>8</v>
      </c>
      <c r="T72" s="85">
        <v>8</v>
      </c>
      <c r="U72" s="85">
        <v>8</v>
      </c>
      <c r="V72" s="85">
        <v>8</v>
      </c>
      <c r="W72" s="85">
        <v>8</v>
      </c>
      <c r="X72" s="85">
        <v>9</v>
      </c>
      <c r="Y72" s="85">
        <v>9</v>
      </c>
      <c r="Z72" s="85">
        <v>9</v>
      </c>
      <c r="AA72" s="85">
        <v>9</v>
      </c>
      <c r="AB72" s="85">
        <v>9</v>
      </c>
      <c r="AC72" s="85">
        <v>9</v>
      </c>
      <c r="AD72" s="85">
        <v>9</v>
      </c>
      <c r="AE72" s="85">
        <v>9</v>
      </c>
      <c r="AF72" s="85">
        <v>9</v>
      </c>
      <c r="AG72" s="85">
        <v>9</v>
      </c>
    </row>
    <row r="73" spans="1:33">
      <c r="A73">
        <v>359</v>
      </c>
      <c r="B73" t="s">
        <v>65</v>
      </c>
      <c r="N73" s="86">
        <v>5</v>
      </c>
      <c r="O73" s="86">
        <v>5</v>
      </c>
      <c r="P73" s="86">
        <v>7</v>
      </c>
      <c r="Q73" s="86">
        <v>7</v>
      </c>
      <c r="R73" s="86">
        <v>7</v>
      </c>
      <c r="S73" s="86">
        <v>7</v>
      </c>
      <c r="T73" s="86">
        <v>7</v>
      </c>
      <c r="U73" s="86">
        <v>7</v>
      </c>
      <c r="V73" s="86">
        <v>7</v>
      </c>
      <c r="W73" s="86">
        <v>7</v>
      </c>
      <c r="X73" s="86">
        <v>8</v>
      </c>
      <c r="Y73" s="86">
        <v>8</v>
      </c>
      <c r="Z73" s="86">
        <v>8</v>
      </c>
      <c r="AA73" s="86">
        <v>8</v>
      </c>
      <c r="AB73" s="86">
        <v>8</v>
      </c>
      <c r="AC73" s="86">
        <v>8</v>
      </c>
      <c r="AD73" s="86">
        <v>8</v>
      </c>
      <c r="AE73" s="86">
        <v>8</v>
      </c>
      <c r="AF73" s="86">
        <v>8</v>
      </c>
      <c r="AG73" s="86">
        <v>8</v>
      </c>
    </row>
    <row r="74" spans="1:33">
      <c r="A74">
        <v>360</v>
      </c>
      <c r="B74" t="s">
        <v>66</v>
      </c>
      <c r="C74" s="534">
        <v>-8</v>
      </c>
      <c r="D74" s="534">
        <v>-8</v>
      </c>
      <c r="E74" s="534">
        <v>-8</v>
      </c>
      <c r="F74" s="534">
        <v>-8</v>
      </c>
      <c r="G74" s="534">
        <v>-8</v>
      </c>
      <c r="H74" s="534">
        <v>-8</v>
      </c>
      <c r="I74" s="534">
        <v>-8</v>
      </c>
      <c r="J74" s="534">
        <v>-8</v>
      </c>
      <c r="K74" s="534">
        <v>-8</v>
      </c>
      <c r="L74" s="534">
        <v>-2</v>
      </c>
      <c r="M74" s="534">
        <v>5</v>
      </c>
      <c r="N74" s="87">
        <v>5</v>
      </c>
      <c r="O74" s="87">
        <v>5</v>
      </c>
      <c r="P74" s="87">
        <v>5</v>
      </c>
      <c r="Q74" s="87">
        <v>5</v>
      </c>
      <c r="R74" s="87">
        <v>5</v>
      </c>
      <c r="S74" s="87">
        <v>8</v>
      </c>
      <c r="T74" s="87">
        <v>8</v>
      </c>
      <c r="U74" s="87">
        <v>8</v>
      </c>
      <c r="V74" s="87">
        <v>8</v>
      </c>
      <c r="W74" s="87">
        <v>8</v>
      </c>
      <c r="X74" s="87">
        <v>8</v>
      </c>
      <c r="Y74" s="87">
        <v>8</v>
      </c>
      <c r="Z74" s="87">
        <v>8</v>
      </c>
      <c r="AA74" s="87">
        <v>9</v>
      </c>
      <c r="AB74" s="87">
        <v>9</v>
      </c>
      <c r="AC74" s="87">
        <v>9</v>
      </c>
      <c r="AD74" s="87">
        <v>9</v>
      </c>
      <c r="AE74" s="87">
        <v>9</v>
      </c>
      <c r="AF74" s="87">
        <v>9</v>
      </c>
      <c r="AG74" s="87">
        <v>9</v>
      </c>
    </row>
    <row r="75" spans="1:33">
      <c r="A75">
        <v>365</v>
      </c>
      <c r="B75" t="s">
        <v>67</v>
      </c>
      <c r="N75" s="88">
        <v>0</v>
      </c>
      <c r="O75" s="88">
        <v>5</v>
      </c>
      <c r="P75" s="88">
        <v>3</v>
      </c>
      <c r="Q75" s="88">
        <v>3</v>
      </c>
      <c r="R75" s="88">
        <v>3</v>
      </c>
      <c r="S75" s="88">
        <v>3</v>
      </c>
      <c r="T75" s="88">
        <v>3</v>
      </c>
      <c r="U75" s="88">
        <v>3</v>
      </c>
      <c r="V75" s="88">
        <v>3</v>
      </c>
      <c r="W75" s="88">
        <v>6</v>
      </c>
      <c r="X75" s="88">
        <v>6</v>
      </c>
      <c r="Y75" s="88">
        <v>6</v>
      </c>
      <c r="Z75" s="88">
        <v>6</v>
      </c>
      <c r="AA75" s="88">
        <v>6</v>
      </c>
      <c r="AB75" s="88">
        <v>6</v>
      </c>
      <c r="AC75" s="88">
        <v>6</v>
      </c>
      <c r="AD75" s="88">
        <v>4</v>
      </c>
      <c r="AE75" s="88">
        <v>4</v>
      </c>
      <c r="AF75" s="88">
        <v>4</v>
      </c>
      <c r="AG75" s="88">
        <v>4</v>
      </c>
    </row>
    <row r="76" spans="1:33">
      <c r="A76">
        <v>366</v>
      </c>
      <c r="B76" t="s">
        <v>68</v>
      </c>
      <c r="N76" s="89">
        <v>6</v>
      </c>
      <c r="O76" s="89">
        <v>6</v>
      </c>
      <c r="P76" s="89">
        <v>6</v>
      </c>
      <c r="Q76" s="89">
        <v>6</v>
      </c>
      <c r="R76" s="89">
        <v>6</v>
      </c>
      <c r="S76" s="89">
        <v>6</v>
      </c>
      <c r="T76" s="89">
        <v>6</v>
      </c>
      <c r="U76" s="89">
        <v>6</v>
      </c>
      <c r="V76" s="89">
        <v>7</v>
      </c>
      <c r="W76" s="89">
        <v>9</v>
      </c>
      <c r="X76" s="89">
        <v>9</v>
      </c>
      <c r="Y76" s="89">
        <v>9</v>
      </c>
      <c r="Z76" s="89">
        <v>9</v>
      </c>
      <c r="AA76" s="89">
        <v>9</v>
      </c>
      <c r="AB76" s="89">
        <v>9</v>
      </c>
      <c r="AC76" s="89">
        <v>9</v>
      </c>
      <c r="AD76" s="89">
        <v>9</v>
      </c>
      <c r="AE76" s="89">
        <v>9</v>
      </c>
      <c r="AF76" s="89">
        <v>9</v>
      </c>
      <c r="AG76" s="89">
        <v>9</v>
      </c>
    </row>
    <row r="77" spans="1:33">
      <c r="A77">
        <v>367</v>
      </c>
      <c r="B77" t="s">
        <v>69</v>
      </c>
      <c r="N77" s="90">
        <v>8</v>
      </c>
      <c r="O77" s="90">
        <v>8</v>
      </c>
      <c r="P77" s="90">
        <v>8</v>
      </c>
      <c r="Q77" s="90">
        <v>8</v>
      </c>
      <c r="R77" s="90">
        <v>8</v>
      </c>
      <c r="S77" s="90">
        <v>8</v>
      </c>
      <c r="T77" s="90">
        <v>8</v>
      </c>
      <c r="U77" s="90">
        <v>8</v>
      </c>
      <c r="V77" s="90">
        <v>8</v>
      </c>
      <c r="W77" s="90">
        <v>8</v>
      </c>
      <c r="X77" s="90">
        <v>8</v>
      </c>
      <c r="Y77" s="90">
        <v>8</v>
      </c>
      <c r="Z77" s="90">
        <v>8</v>
      </c>
      <c r="AA77" s="90">
        <v>8</v>
      </c>
      <c r="AB77" s="90">
        <v>8</v>
      </c>
      <c r="AC77" s="90">
        <v>8</v>
      </c>
      <c r="AD77" s="90">
        <v>8</v>
      </c>
      <c r="AE77" s="90">
        <v>8</v>
      </c>
      <c r="AF77" s="90">
        <v>8</v>
      </c>
      <c r="AG77" s="90">
        <v>8</v>
      </c>
    </row>
    <row r="78" spans="1:33">
      <c r="A78">
        <v>368</v>
      </c>
      <c r="B78" t="s">
        <v>70</v>
      </c>
      <c r="N78" s="91">
        <v>10</v>
      </c>
      <c r="O78" s="91">
        <v>10</v>
      </c>
      <c r="P78" s="91">
        <v>10</v>
      </c>
      <c r="Q78" s="91">
        <v>10</v>
      </c>
      <c r="R78" s="91">
        <v>10</v>
      </c>
      <c r="S78" s="91">
        <v>10</v>
      </c>
      <c r="T78" s="91">
        <v>10</v>
      </c>
      <c r="U78" s="91">
        <v>10</v>
      </c>
      <c r="V78" s="91">
        <v>10</v>
      </c>
      <c r="W78" s="91">
        <v>10</v>
      </c>
      <c r="X78" s="91">
        <v>10</v>
      </c>
      <c r="Y78" s="91">
        <v>10</v>
      </c>
      <c r="Z78" s="91">
        <v>10</v>
      </c>
      <c r="AA78" s="91">
        <v>10</v>
      </c>
      <c r="AB78" s="91">
        <v>10</v>
      </c>
      <c r="AC78" s="91">
        <v>10</v>
      </c>
      <c r="AD78" s="91">
        <v>10</v>
      </c>
      <c r="AE78" s="91">
        <v>10</v>
      </c>
      <c r="AF78" s="91">
        <v>10</v>
      </c>
      <c r="AG78" s="91">
        <v>10</v>
      </c>
    </row>
    <row r="79" spans="1:33">
      <c r="A79">
        <v>369</v>
      </c>
      <c r="B79" t="s">
        <v>71</v>
      </c>
      <c r="N79" s="92">
        <v>6</v>
      </c>
      <c r="O79" s="92">
        <v>6</v>
      </c>
      <c r="P79" s="92">
        <v>5</v>
      </c>
      <c r="Q79" s="92">
        <v>7</v>
      </c>
      <c r="R79" s="92">
        <v>7</v>
      </c>
      <c r="S79" s="92">
        <v>7</v>
      </c>
      <c r="T79" s="92">
        <v>7</v>
      </c>
      <c r="U79" s="92">
        <v>7</v>
      </c>
      <c r="V79" s="92">
        <v>7</v>
      </c>
      <c r="W79" s="92">
        <v>6</v>
      </c>
      <c r="X79" s="92">
        <v>6</v>
      </c>
      <c r="Y79" s="92">
        <v>6</v>
      </c>
      <c r="Z79" s="92">
        <v>6</v>
      </c>
      <c r="AA79" s="92">
        <v>6</v>
      </c>
      <c r="AB79" s="92">
        <v>6</v>
      </c>
      <c r="AC79" s="92">
        <v>7</v>
      </c>
      <c r="AD79" s="92">
        <v>7</v>
      </c>
      <c r="AE79" s="92">
        <v>7</v>
      </c>
      <c r="AF79" s="92">
        <v>7</v>
      </c>
      <c r="AG79" s="92">
        <v>6</v>
      </c>
    </row>
    <row r="80" spans="1:33">
      <c r="A80">
        <v>370</v>
      </c>
      <c r="B80" t="s">
        <v>72</v>
      </c>
      <c r="N80" s="93">
        <v>7</v>
      </c>
      <c r="O80" s="93">
        <v>7</v>
      </c>
      <c r="P80" s="93">
        <v>7</v>
      </c>
      <c r="Q80" s="93">
        <v>7</v>
      </c>
      <c r="R80" s="93">
        <v>0</v>
      </c>
      <c r="S80" s="93">
        <v>-7</v>
      </c>
      <c r="T80" s="93">
        <v>-7</v>
      </c>
      <c r="U80" s="93">
        <v>-7</v>
      </c>
      <c r="V80" s="93">
        <v>-7</v>
      </c>
      <c r="W80" s="93">
        <v>-7</v>
      </c>
      <c r="X80" s="93">
        <v>-7</v>
      </c>
      <c r="Y80" s="93">
        <v>-7</v>
      </c>
      <c r="Z80" s="93">
        <v>-7</v>
      </c>
      <c r="AA80" s="93">
        <v>-7</v>
      </c>
      <c r="AB80" s="93">
        <v>-7</v>
      </c>
      <c r="AC80" s="93">
        <v>-7</v>
      </c>
      <c r="AD80" s="93">
        <v>-7</v>
      </c>
      <c r="AE80" s="93">
        <v>-7</v>
      </c>
      <c r="AF80" s="93">
        <v>-7</v>
      </c>
      <c r="AG80" s="93">
        <v>-7</v>
      </c>
    </row>
    <row r="81" spans="1:33">
      <c r="A81">
        <v>371</v>
      </c>
      <c r="B81" t="s">
        <v>73</v>
      </c>
      <c r="N81" s="94">
        <v>7</v>
      </c>
      <c r="O81" s="94">
        <v>7</v>
      </c>
      <c r="P81" s="94">
        <v>7</v>
      </c>
      <c r="Q81" s="94">
        <v>7</v>
      </c>
      <c r="R81" s="94">
        <v>3</v>
      </c>
      <c r="S81" s="94">
        <v>-6</v>
      </c>
      <c r="T81" s="94">
        <v>-6</v>
      </c>
      <c r="U81" s="94">
        <v>5</v>
      </c>
      <c r="V81" s="94">
        <v>5</v>
      </c>
      <c r="W81" s="94">
        <v>5</v>
      </c>
      <c r="X81" s="94">
        <v>5</v>
      </c>
      <c r="Y81" s="94">
        <v>5</v>
      </c>
      <c r="Z81" s="94">
        <v>5</v>
      </c>
      <c r="AA81" s="94">
        <v>5</v>
      </c>
      <c r="AB81" s="94">
        <v>5</v>
      </c>
      <c r="AC81" s="94">
        <v>5</v>
      </c>
      <c r="AD81" s="94">
        <v>5</v>
      </c>
      <c r="AE81" s="94">
        <v>5</v>
      </c>
      <c r="AF81" s="94">
        <v>5</v>
      </c>
      <c r="AG81" s="94">
        <v>5</v>
      </c>
    </row>
    <row r="82" spans="1:33">
      <c r="A82">
        <v>372</v>
      </c>
      <c r="B82" t="s">
        <v>74</v>
      </c>
      <c r="N82" s="95">
        <v>4</v>
      </c>
      <c r="O82" s="95">
        <v>4</v>
      </c>
      <c r="P82" s="95">
        <v>4</v>
      </c>
      <c r="Q82" s="95">
        <v>4</v>
      </c>
      <c r="R82" s="95">
        <v>5</v>
      </c>
      <c r="S82" s="95">
        <v>5</v>
      </c>
      <c r="T82" s="95">
        <v>5</v>
      </c>
      <c r="U82" s="95">
        <v>5</v>
      </c>
      <c r="V82" s="95">
        <v>5</v>
      </c>
      <c r="W82" s="95">
        <v>5</v>
      </c>
      <c r="X82" s="95">
        <v>5</v>
      </c>
      <c r="Y82" s="95">
        <v>5</v>
      </c>
      <c r="Z82" s="95">
        <v>5</v>
      </c>
      <c r="AA82" s="95">
        <v>7</v>
      </c>
      <c r="AB82" s="95">
        <v>7</v>
      </c>
      <c r="AC82" s="95">
        <v>7</v>
      </c>
      <c r="AD82" s="95">
        <v>6</v>
      </c>
      <c r="AE82" s="95">
        <v>6</v>
      </c>
      <c r="AF82" s="95">
        <v>6</v>
      </c>
      <c r="AG82" s="95">
        <v>6</v>
      </c>
    </row>
    <row r="83" spans="1:33">
      <c r="A83">
        <v>373</v>
      </c>
      <c r="B83" t="s">
        <v>75</v>
      </c>
      <c r="N83" s="96">
        <v>-3</v>
      </c>
      <c r="O83" s="96">
        <v>1</v>
      </c>
      <c r="P83" s="96">
        <v>-3</v>
      </c>
      <c r="Q83" s="96">
        <v>-3</v>
      </c>
      <c r="R83" s="96">
        <v>-6</v>
      </c>
      <c r="S83" s="96">
        <v>-6</v>
      </c>
      <c r="T83" s="96">
        <v>-6</v>
      </c>
      <c r="U83" s="96">
        <v>-7</v>
      </c>
      <c r="V83" s="96">
        <v>-7</v>
      </c>
      <c r="W83" s="96">
        <v>-7</v>
      </c>
      <c r="X83" s="96">
        <v>-7</v>
      </c>
      <c r="Y83" s="96">
        <v>-7</v>
      </c>
      <c r="Z83" s="96">
        <v>-7</v>
      </c>
      <c r="AA83" s="96">
        <v>-7</v>
      </c>
      <c r="AB83" s="96">
        <v>-7</v>
      </c>
      <c r="AC83" s="96">
        <v>-7</v>
      </c>
      <c r="AD83" s="96">
        <v>-7</v>
      </c>
      <c r="AE83" s="96">
        <v>-7</v>
      </c>
      <c r="AF83" s="96">
        <v>-7</v>
      </c>
      <c r="AG83" s="96">
        <v>-7</v>
      </c>
    </row>
    <row r="84" spans="1:33">
      <c r="A84">
        <v>375</v>
      </c>
      <c r="B84" t="s">
        <v>76</v>
      </c>
      <c r="C84" s="534">
        <v>10</v>
      </c>
      <c r="D84" s="534">
        <v>10</v>
      </c>
      <c r="E84" s="534">
        <v>10</v>
      </c>
      <c r="F84" s="534">
        <v>10</v>
      </c>
      <c r="G84" s="534">
        <v>10</v>
      </c>
      <c r="H84" s="534">
        <v>10</v>
      </c>
      <c r="I84" s="534">
        <v>10</v>
      </c>
      <c r="J84" s="534">
        <v>10</v>
      </c>
      <c r="K84" s="534">
        <v>10</v>
      </c>
      <c r="L84" s="534">
        <v>10</v>
      </c>
      <c r="M84" s="534">
        <v>10</v>
      </c>
      <c r="N84" s="97">
        <v>10</v>
      </c>
      <c r="O84" s="97">
        <v>10</v>
      </c>
      <c r="P84" s="97">
        <v>10</v>
      </c>
      <c r="Q84" s="97">
        <v>10</v>
      </c>
      <c r="R84" s="97">
        <v>10</v>
      </c>
      <c r="S84" s="97">
        <v>10</v>
      </c>
      <c r="T84" s="97">
        <v>10</v>
      </c>
      <c r="U84" s="97">
        <v>10</v>
      </c>
      <c r="V84" s="97">
        <v>10</v>
      </c>
      <c r="W84" s="97">
        <v>10</v>
      </c>
      <c r="X84" s="97">
        <v>10</v>
      </c>
      <c r="Y84" s="97">
        <v>10</v>
      </c>
      <c r="Z84" s="97">
        <v>10</v>
      </c>
      <c r="AA84" s="97">
        <v>10</v>
      </c>
      <c r="AB84" s="97">
        <v>10</v>
      </c>
      <c r="AC84" s="97">
        <v>10</v>
      </c>
      <c r="AD84" s="97">
        <v>10</v>
      </c>
      <c r="AE84" s="97">
        <v>10</v>
      </c>
      <c r="AF84" s="97">
        <v>10</v>
      </c>
      <c r="AG84" s="97">
        <v>10</v>
      </c>
    </row>
    <row r="85" spans="1:33">
      <c r="A85">
        <v>380</v>
      </c>
      <c r="B85" t="s">
        <v>77</v>
      </c>
      <c r="C85" s="534">
        <v>10</v>
      </c>
      <c r="D85" s="534">
        <v>10</v>
      </c>
      <c r="E85" s="534">
        <v>10</v>
      </c>
      <c r="F85" s="534">
        <v>10</v>
      </c>
      <c r="G85" s="534">
        <v>10</v>
      </c>
      <c r="H85" s="534">
        <v>10</v>
      </c>
      <c r="I85" s="534">
        <v>10</v>
      </c>
      <c r="J85" s="534">
        <v>10</v>
      </c>
      <c r="K85" s="534">
        <v>10</v>
      </c>
      <c r="L85" s="534">
        <v>10</v>
      </c>
      <c r="M85" s="534">
        <v>10</v>
      </c>
      <c r="N85" s="98">
        <v>10</v>
      </c>
      <c r="O85" s="98">
        <v>10</v>
      </c>
      <c r="P85" s="98">
        <v>10</v>
      </c>
      <c r="Q85" s="98">
        <v>10</v>
      </c>
      <c r="R85" s="98">
        <v>10</v>
      </c>
      <c r="S85" s="98">
        <v>10</v>
      </c>
      <c r="T85" s="98">
        <v>10</v>
      </c>
      <c r="U85" s="98">
        <v>10</v>
      </c>
      <c r="V85" s="98">
        <v>10</v>
      </c>
      <c r="W85" s="98">
        <v>10</v>
      </c>
      <c r="X85" s="98">
        <v>10</v>
      </c>
      <c r="Y85" s="98">
        <v>10</v>
      </c>
      <c r="Z85" s="98">
        <v>10</v>
      </c>
      <c r="AA85" s="98">
        <v>10</v>
      </c>
      <c r="AB85" s="98">
        <v>10</v>
      </c>
      <c r="AC85" s="98">
        <v>10</v>
      </c>
      <c r="AD85" s="98">
        <v>10</v>
      </c>
      <c r="AE85" s="98">
        <v>10</v>
      </c>
      <c r="AF85" s="98">
        <v>10</v>
      </c>
      <c r="AG85" s="98">
        <v>10</v>
      </c>
    </row>
    <row r="86" spans="1:33">
      <c r="A86">
        <v>385</v>
      </c>
      <c r="B86" t="s">
        <v>78</v>
      </c>
      <c r="C86" s="534">
        <v>10</v>
      </c>
      <c r="D86" s="534">
        <v>10</v>
      </c>
      <c r="E86" s="534">
        <v>10</v>
      </c>
      <c r="F86" s="534">
        <v>10</v>
      </c>
      <c r="G86" s="534">
        <v>10</v>
      </c>
      <c r="H86" s="534">
        <v>10</v>
      </c>
      <c r="I86" s="534">
        <v>10</v>
      </c>
      <c r="J86" s="534">
        <v>10</v>
      </c>
      <c r="K86" s="534">
        <v>10</v>
      </c>
      <c r="L86" s="534">
        <v>10</v>
      </c>
      <c r="M86" s="534">
        <v>10</v>
      </c>
      <c r="N86" s="99">
        <v>10</v>
      </c>
      <c r="O86" s="99">
        <v>10</v>
      </c>
      <c r="P86" s="99">
        <v>10</v>
      </c>
      <c r="Q86" s="99">
        <v>10</v>
      </c>
      <c r="R86" s="99">
        <v>10</v>
      </c>
      <c r="S86" s="99">
        <v>10</v>
      </c>
      <c r="T86" s="99">
        <v>10</v>
      </c>
      <c r="U86" s="99">
        <v>10</v>
      </c>
      <c r="V86" s="99">
        <v>10</v>
      </c>
      <c r="W86" s="99">
        <v>10</v>
      </c>
      <c r="X86" s="99">
        <v>10</v>
      </c>
      <c r="Y86" s="99">
        <v>10</v>
      </c>
      <c r="Z86" s="99">
        <v>10</v>
      </c>
      <c r="AA86" s="99">
        <v>10</v>
      </c>
      <c r="AB86" s="99">
        <v>10</v>
      </c>
      <c r="AC86" s="99">
        <v>10</v>
      </c>
      <c r="AD86" s="99">
        <v>10</v>
      </c>
      <c r="AE86" s="99">
        <v>10</v>
      </c>
      <c r="AF86" s="99">
        <v>10</v>
      </c>
      <c r="AG86" s="99">
        <v>10</v>
      </c>
    </row>
    <row r="87" spans="1:33">
      <c r="A87">
        <v>390</v>
      </c>
      <c r="B87" t="s">
        <v>79</v>
      </c>
      <c r="C87" s="534">
        <v>10</v>
      </c>
      <c r="D87" s="534">
        <v>10</v>
      </c>
      <c r="E87" s="534">
        <v>10</v>
      </c>
      <c r="F87" s="534">
        <v>10</v>
      </c>
      <c r="G87" s="534">
        <v>10</v>
      </c>
      <c r="H87" s="534">
        <v>10</v>
      </c>
      <c r="I87" s="534">
        <v>10</v>
      </c>
      <c r="J87" s="534">
        <v>10</v>
      </c>
      <c r="K87" s="534">
        <v>10</v>
      </c>
      <c r="L87" s="534">
        <v>10</v>
      </c>
      <c r="M87" s="534">
        <v>10</v>
      </c>
      <c r="N87" s="100">
        <v>10</v>
      </c>
      <c r="O87" s="100">
        <v>10</v>
      </c>
      <c r="P87" s="100">
        <v>10</v>
      </c>
      <c r="Q87" s="100">
        <v>10</v>
      </c>
      <c r="R87" s="100">
        <v>10</v>
      </c>
      <c r="S87" s="100">
        <v>10</v>
      </c>
      <c r="T87" s="100">
        <v>10</v>
      </c>
      <c r="U87" s="100">
        <v>10</v>
      </c>
      <c r="V87" s="100">
        <v>10</v>
      </c>
      <c r="W87" s="100">
        <v>10</v>
      </c>
      <c r="X87" s="100">
        <v>10</v>
      </c>
      <c r="Y87" s="100">
        <v>10</v>
      </c>
      <c r="Z87" s="100">
        <v>10</v>
      </c>
      <c r="AA87" s="100">
        <v>10</v>
      </c>
      <c r="AB87" s="100">
        <v>10</v>
      </c>
      <c r="AC87" s="100">
        <v>10</v>
      </c>
      <c r="AD87" s="100">
        <v>10</v>
      </c>
      <c r="AE87" s="100">
        <v>10</v>
      </c>
      <c r="AF87" s="100">
        <v>10</v>
      </c>
      <c r="AG87" s="100">
        <v>10</v>
      </c>
    </row>
    <row r="88" spans="1:33">
      <c r="A88">
        <v>395</v>
      </c>
      <c r="B88" t="s">
        <v>80</v>
      </c>
    </row>
    <row r="89" spans="1:33">
      <c r="A89">
        <v>402</v>
      </c>
      <c r="B89" t="s">
        <v>81</v>
      </c>
      <c r="N89" s="101">
        <v>8</v>
      </c>
      <c r="O89" s="101">
        <v>8</v>
      </c>
      <c r="P89" s="101">
        <v>8</v>
      </c>
      <c r="Q89" s="101">
        <v>8</v>
      </c>
      <c r="R89" s="101">
        <v>8</v>
      </c>
      <c r="S89" s="101">
        <v>8</v>
      </c>
      <c r="T89" s="101">
        <v>8</v>
      </c>
      <c r="U89" s="101">
        <v>8</v>
      </c>
      <c r="V89" s="101">
        <v>8</v>
      </c>
      <c r="W89" s="101">
        <v>8</v>
      </c>
      <c r="X89" s="101">
        <v>10</v>
      </c>
      <c r="Y89" s="101">
        <v>10</v>
      </c>
      <c r="Z89" s="101">
        <v>10</v>
      </c>
      <c r="AA89" s="101">
        <v>10</v>
      </c>
      <c r="AB89" s="101">
        <v>10</v>
      </c>
      <c r="AC89" s="101">
        <v>10</v>
      </c>
      <c r="AD89" s="101">
        <v>10</v>
      </c>
      <c r="AE89" s="101">
        <v>10</v>
      </c>
      <c r="AF89" s="101">
        <v>10</v>
      </c>
      <c r="AG89" s="101">
        <v>10</v>
      </c>
    </row>
    <row r="90" spans="1:33">
      <c r="A90">
        <v>403</v>
      </c>
      <c r="B90" t="s">
        <v>82</v>
      </c>
    </row>
    <row r="91" spans="1:33">
      <c r="A91">
        <v>404</v>
      </c>
      <c r="B91" t="s">
        <v>83</v>
      </c>
      <c r="C91" s="534">
        <v>-7</v>
      </c>
      <c r="D91" s="534">
        <v>-7</v>
      </c>
      <c r="E91" s="534">
        <v>-7</v>
      </c>
      <c r="F91" s="534">
        <v>-7</v>
      </c>
      <c r="G91" s="534">
        <v>-8</v>
      </c>
      <c r="H91" s="534">
        <v>-8</v>
      </c>
      <c r="I91" s="534">
        <v>-8</v>
      </c>
      <c r="J91" s="534">
        <v>-8</v>
      </c>
      <c r="K91" s="534">
        <v>-8</v>
      </c>
      <c r="L91" s="534">
        <v>-8</v>
      </c>
      <c r="M91" s="534">
        <v>-8</v>
      </c>
      <c r="N91" s="102">
        <v>-6</v>
      </c>
      <c r="O91" s="102">
        <v>-6</v>
      </c>
      <c r="P91" s="102">
        <v>-6</v>
      </c>
      <c r="Q91" s="102">
        <v>5</v>
      </c>
      <c r="R91" s="102">
        <v>5</v>
      </c>
      <c r="S91" s="102">
        <v>5</v>
      </c>
      <c r="T91" s="102">
        <v>5</v>
      </c>
      <c r="U91" s="102">
        <v>0</v>
      </c>
      <c r="V91" s="102">
        <v>3</v>
      </c>
      <c r="W91" s="102">
        <v>5</v>
      </c>
      <c r="X91" s="102">
        <v>5</v>
      </c>
      <c r="Y91" s="102">
        <v>5</v>
      </c>
      <c r="Z91" s="102">
        <v>-1</v>
      </c>
      <c r="AA91" s="102">
        <v>-1</v>
      </c>
      <c r="AB91" s="102">
        <v>6</v>
      </c>
      <c r="AC91" s="102">
        <v>6</v>
      </c>
      <c r="AD91" s="102">
        <v>6</v>
      </c>
      <c r="AE91" s="102">
        <v>6</v>
      </c>
      <c r="AF91" s="102">
        <v>6</v>
      </c>
      <c r="AG91" s="102">
        <v>6</v>
      </c>
    </row>
    <row r="92" spans="1:33">
      <c r="A92">
        <v>411</v>
      </c>
      <c r="B92" t="s">
        <v>84</v>
      </c>
      <c r="C92" s="534">
        <v>-7</v>
      </c>
      <c r="D92" s="534">
        <v>-7</v>
      </c>
      <c r="E92" s="534">
        <v>-7</v>
      </c>
      <c r="F92" s="534">
        <v>-7</v>
      </c>
      <c r="G92" s="534">
        <v>-7</v>
      </c>
      <c r="H92" s="534">
        <v>-7</v>
      </c>
      <c r="I92" s="534">
        <v>-7</v>
      </c>
      <c r="J92" s="534">
        <v>-7</v>
      </c>
      <c r="K92" s="534">
        <v>-7</v>
      </c>
      <c r="L92" s="534">
        <v>-7</v>
      </c>
      <c r="M92" s="534">
        <v>-7</v>
      </c>
      <c r="N92" s="103">
        <v>-7</v>
      </c>
      <c r="O92" s="103">
        <v>-7</v>
      </c>
      <c r="P92" s="103">
        <v>-5</v>
      </c>
      <c r="Q92" s="103">
        <v>-5</v>
      </c>
      <c r="R92" s="103">
        <v>-5</v>
      </c>
      <c r="S92" s="103">
        <v>-5</v>
      </c>
      <c r="T92" s="103">
        <v>-5</v>
      </c>
      <c r="U92" s="103">
        <v>-5</v>
      </c>
      <c r="V92" s="103">
        <v>-5</v>
      </c>
      <c r="W92" s="103">
        <v>-5</v>
      </c>
      <c r="X92" s="103">
        <v>-5</v>
      </c>
      <c r="Y92" s="103">
        <v>-5</v>
      </c>
      <c r="Z92" s="103">
        <v>-5</v>
      </c>
      <c r="AA92" s="103">
        <v>-5</v>
      </c>
      <c r="AB92" s="103">
        <v>-5</v>
      </c>
      <c r="AC92" s="103">
        <v>-5</v>
      </c>
      <c r="AD92" s="103">
        <v>-5</v>
      </c>
      <c r="AE92" s="103">
        <v>-5</v>
      </c>
      <c r="AF92" s="103">
        <v>-5</v>
      </c>
      <c r="AG92" s="103">
        <v>-5</v>
      </c>
    </row>
    <row r="93" spans="1:33">
      <c r="A93">
        <v>420</v>
      </c>
      <c r="B93" t="s">
        <v>85</v>
      </c>
      <c r="C93" s="534">
        <v>8</v>
      </c>
      <c r="D93" s="534">
        <v>7</v>
      </c>
      <c r="E93" s="534">
        <v>7</v>
      </c>
      <c r="F93" s="534">
        <v>7</v>
      </c>
      <c r="G93" s="534">
        <v>7</v>
      </c>
      <c r="H93" s="534">
        <v>7</v>
      </c>
      <c r="I93" s="534">
        <v>7</v>
      </c>
      <c r="J93" s="534">
        <v>7</v>
      </c>
      <c r="K93" s="534">
        <v>7</v>
      </c>
      <c r="L93" s="534">
        <v>7</v>
      </c>
      <c r="M93" s="534">
        <v>8</v>
      </c>
      <c r="N93" s="104">
        <v>8</v>
      </c>
      <c r="O93" s="104">
        <v>8</v>
      </c>
      <c r="P93" s="104">
        <v>8</v>
      </c>
      <c r="Q93" s="104">
        <v>-7</v>
      </c>
      <c r="R93" s="104">
        <v>-7</v>
      </c>
      <c r="S93" s="104">
        <v>-6</v>
      </c>
      <c r="T93" s="104">
        <v>-5</v>
      </c>
      <c r="U93" s="104">
        <v>-5</v>
      </c>
      <c r="V93" s="104">
        <v>-5</v>
      </c>
      <c r="W93" s="104">
        <v>-5</v>
      </c>
      <c r="X93" s="104">
        <v>-5</v>
      </c>
      <c r="Y93" s="104">
        <v>-5</v>
      </c>
      <c r="Z93" s="104">
        <v>-5</v>
      </c>
      <c r="AA93" s="104">
        <v>-5</v>
      </c>
      <c r="AB93" s="104">
        <v>-5</v>
      </c>
      <c r="AC93" s="104">
        <v>-5</v>
      </c>
      <c r="AD93" s="104">
        <v>-5</v>
      </c>
      <c r="AE93" s="104">
        <v>-5</v>
      </c>
      <c r="AF93" s="104">
        <v>-5</v>
      </c>
      <c r="AG93" s="104">
        <v>-5</v>
      </c>
    </row>
    <row r="94" spans="1:33">
      <c r="A94">
        <v>432</v>
      </c>
      <c r="B94" t="s">
        <v>86</v>
      </c>
      <c r="C94" s="534">
        <v>-7</v>
      </c>
      <c r="D94" s="534">
        <v>-7</v>
      </c>
      <c r="E94" s="534">
        <v>-7</v>
      </c>
      <c r="F94" s="534">
        <v>-7</v>
      </c>
      <c r="G94" s="534">
        <v>-7</v>
      </c>
      <c r="H94" s="534">
        <v>-7</v>
      </c>
      <c r="I94" s="534">
        <v>-7</v>
      </c>
      <c r="J94" s="534">
        <v>-7</v>
      </c>
      <c r="K94" s="534">
        <v>-7</v>
      </c>
      <c r="L94" s="534">
        <v>-7</v>
      </c>
      <c r="M94" s="534">
        <v>-7</v>
      </c>
      <c r="N94" s="105">
        <v>0</v>
      </c>
      <c r="O94" s="105">
        <v>7</v>
      </c>
      <c r="P94" s="105">
        <v>7</v>
      </c>
      <c r="Q94" s="105">
        <v>7</v>
      </c>
      <c r="R94" s="105">
        <v>7</v>
      </c>
      <c r="S94" s="105">
        <v>7</v>
      </c>
      <c r="T94" s="105">
        <v>6</v>
      </c>
      <c r="U94" s="105">
        <v>6</v>
      </c>
      <c r="V94" s="105">
        <v>6</v>
      </c>
      <c r="W94" s="105">
        <v>6</v>
      </c>
      <c r="X94" s="105">
        <v>6</v>
      </c>
      <c r="Y94" s="105">
        <v>7</v>
      </c>
      <c r="Z94" s="105">
        <v>7</v>
      </c>
      <c r="AA94" s="105">
        <v>7</v>
      </c>
      <c r="AB94" s="105">
        <v>7</v>
      </c>
      <c r="AC94" s="105">
        <v>7</v>
      </c>
      <c r="AD94" s="105">
        <v>7</v>
      </c>
      <c r="AE94" s="105">
        <v>7</v>
      </c>
      <c r="AF94" s="105">
        <v>7</v>
      </c>
      <c r="AG94" s="105">
        <v>7</v>
      </c>
    </row>
    <row r="95" spans="1:33">
      <c r="A95">
        <v>433</v>
      </c>
      <c r="B95" t="s">
        <v>87</v>
      </c>
      <c r="C95" s="534">
        <v>-2</v>
      </c>
      <c r="D95" s="534">
        <v>-1</v>
      </c>
      <c r="E95" s="534">
        <v>-1</v>
      </c>
      <c r="F95" s="534">
        <v>-1</v>
      </c>
      <c r="G95" s="534">
        <v>-1</v>
      </c>
      <c r="H95" s="534">
        <v>-1</v>
      </c>
      <c r="I95" s="534">
        <v>-1</v>
      </c>
      <c r="J95" s="534">
        <v>-1</v>
      </c>
      <c r="K95" s="534">
        <v>-1</v>
      </c>
      <c r="L95" s="534">
        <v>-1</v>
      </c>
      <c r="M95" s="534">
        <v>-1</v>
      </c>
      <c r="N95" s="106">
        <v>-1</v>
      </c>
      <c r="O95" s="106">
        <v>-1</v>
      </c>
      <c r="P95" s="106">
        <v>-1</v>
      </c>
      <c r="Q95" s="106">
        <v>-1</v>
      </c>
      <c r="R95" s="106">
        <v>-1</v>
      </c>
      <c r="S95" s="106">
        <v>-1</v>
      </c>
      <c r="T95" s="106">
        <v>-1</v>
      </c>
      <c r="U95" s="106">
        <v>-1</v>
      </c>
      <c r="V95" s="106">
        <v>-1</v>
      </c>
      <c r="W95" s="106">
        <v>8</v>
      </c>
      <c r="X95" s="106">
        <v>8</v>
      </c>
      <c r="Y95" s="106">
        <v>8</v>
      </c>
      <c r="Z95" s="106">
        <v>8</v>
      </c>
      <c r="AA95" s="106">
        <v>8</v>
      </c>
      <c r="AB95" s="106">
        <v>8</v>
      </c>
      <c r="AC95" s="106">
        <v>8</v>
      </c>
      <c r="AD95" s="106">
        <v>7</v>
      </c>
      <c r="AE95" s="106">
        <v>7</v>
      </c>
      <c r="AF95" s="106">
        <v>7</v>
      </c>
      <c r="AG95" s="106">
        <v>7</v>
      </c>
    </row>
    <row r="96" spans="1:33">
      <c r="A96">
        <v>434</v>
      </c>
      <c r="B96" t="s">
        <v>88</v>
      </c>
      <c r="C96" s="534">
        <v>-7</v>
      </c>
      <c r="D96" s="534">
        <v>-7</v>
      </c>
      <c r="E96" s="534">
        <v>-7</v>
      </c>
      <c r="F96" s="534">
        <v>-7</v>
      </c>
      <c r="G96" s="534">
        <v>-7</v>
      </c>
      <c r="H96" s="534">
        <v>-7</v>
      </c>
      <c r="I96" s="534">
        <v>-7</v>
      </c>
      <c r="J96" s="534">
        <v>-7</v>
      </c>
      <c r="K96" s="534">
        <v>-7</v>
      </c>
      <c r="L96" s="534">
        <v>-7</v>
      </c>
      <c r="M96" s="534">
        <v>0</v>
      </c>
      <c r="N96" s="107">
        <v>6</v>
      </c>
      <c r="O96" s="107">
        <v>6</v>
      </c>
      <c r="P96" s="107">
        <v>6</v>
      </c>
      <c r="Q96" s="107">
        <v>6</v>
      </c>
      <c r="R96" s="107">
        <v>6</v>
      </c>
      <c r="S96" s="107">
        <v>6</v>
      </c>
      <c r="T96" s="107">
        <v>6</v>
      </c>
      <c r="U96" s="107">
        <v>6</v>
      </c>
      <c r="V96" s="107">
        <v>6</v>
      </c>
      <c r="W96" s="107">
        <v>6</v>
      </c>
      <c r="X96" s="107">
        <v>6</v>
      </c>
      <c r="Y96" s="107">
        <v>6</v>
      </c>
      <c r="Z96" s="107">
        <v>6</v>
      </c>
      <c r="AA96" s="107">
        <v>6</v>
      </c>
      <c r="AB96" s="107">
        <v>6</v>
      </c>
      <c r="AC96" s="107">
        <v>7</v>
      </c>
      <c r="AD96" s="107">
        <v>7</v>
      </c>
      <c r="AE96" s="107">
        <v>7</v>
      </c>
      <c r="AF96" s="107">
        <v>7</v>
      </c>
      <c r="AG96" s="107">
        <v>7</v>
      </c>
    </row>
    <row r="97" spans="1:33">
      <c r="A97">
        <v>435</v>
      </c>
      <c r="B97" t="s">
        <v>89</v>
      </c>
      <c r="C97" s="534">
        <v>-7</v>
      </c>
      <c r="D97" s="534">
        <v>-7</v>
      </c>
      <c r="E97" s="534">
        <v>-7</v>
      </c>
      <c r="F97" s="534">
        <v>-7</v>
      </c>
      <c r="G97" s="534">
        <v>-7</v>
      </c>
      <c r="H97" s="534">
        <v>-7</v>
      </c>
      <c r="I97" s="534">
        <v>-7</v>
      </c>
      <c r="J97" s="534">
        <v>-7</v>
      </c>
      <c r="K97" s="534">
        <v>-7</v>
      </c>
      <c r="L97" s="534">
        <v>-7</v>
      </c>
      <c r="M97" s="534">
        <v>-7</v>
      </c>
      <c r="N97" s="108">
        <v>-6</v>
      </c>
      <c r="O97" s="108">
        <v>-6</v>
      </c>
      <c r="P97" s="108">
        <v>-6</v>
      </c>
      <c r="Q97" s="108">
        <v>-6</v>
      </c>
      <c r="R97" s="108">
        <v>-6</v>
      </c>
      <c r="S97" s="108">
        <v>-6</v>
      </c>
      <c r="T97" s="108">
        <v>-6</v>
      </c>
      <c r="U97" s="108">
        <v>-6</v>
      </c>
      <c r="V97" s="108">
        <v>-6</v>
      </c>
      <c r="W97" s="108">
        <v>-6</v>
      </c>
      <c r="X97" s="108">
        <v>-6</v>
      </c>
      <c r="Y97" s="108">
        <v>-6</v>
      </c>
      <c r="Z97" s="108">
        <v>-6</v>
      </c>
      <c r="AA97" s="108">
        <v>-6</v>
      </c>
      <c r="AB97" s="108">
        <v>-5</v>
      </c>
      <c r="AC97" s="108">
        <v>-3</v>
      </c>
      <c r="AD97" s="108">
        <v>4</v>
      </c>
      <c r="AE97" s="108">
        <v>-5</v>
      </c>
      <c r="AF97" s="108">
        <v>-2</v>
      </c>
      <c r="AG97" s="108">
        <v>-2</v>
      </c>
    </row>
    <row r="98" spans="1:33">
      <c r="A98">
        <v>436</v>
      </c>
      <c r="B98" t="s">
        <v>90</v>
      </c>
      <c r="C98" s="534">
        <v>-7</v>
      </c>
      <c r="D98" s="534">
        <v>-7</v>
      </c>
      <c r="E98" s="534">
        <v>-7</v>
      </c>
      <c r="F98" s="534">
        <v>-7</v>
      </c>
      <c r="G98" s="534">
        <v>-7</v>
      </c>
      <c r="H98" s="534">
        <v>-7</v>
      </c>
      <c r="I98" s="534">
        <v>-7</v>
      </c>
      <c r="J98" s="534">
        <v>-7</v>
      </c>
      <c r="K98" s="534">
        <v>-7</v>
      </c>
      <c r="L98" s="534">
        <v>-7</v>
      </c>
      <c r="M98" s="534">
        <v>-7</v>
      </c>
      <c r="N98" s="109">
        <v>1</v>
      </c>
      <c r="O98" s="109">
        <v>8</v>
      </c>
      <c r="P98" s="109">
        <v>8</v>
      </c>
      <c r="Q98" s="109">
        <v>8</v>
      </c>
      <c r="R98" s="109">
        <v>8</v>
      </c>
      <c r="S98" s="109">
        <v>-6</v>
      </c>
      <c r="T98" s="109">
        <v>-6</v>
      </c>
      <c r="U98" s="109">
        <v>-6</v>
      </c>
      <c r="V98" s="109">
        <v>5</v>
      </c>
      <c r="W98" s="109">
        <v>5</v>
      </c>
      <c r="X98" s="109">
        <v>5</v>
      </c>
      <c r="Y98" s="109">
        <v>5</v>
      </c>
      <c r="Z98" s="109">
        <v>5</v>
      </c>
      <c r="AA98" s="109">
        <v>6</v>
      </c>
      <c r="AB98" s="109">
        <v>6</v>
      </c>
      <c r="AC98" s="109">
        <v>6</v>
      </c>
      <c r="AD98" s="109">
        <v>6</v>
      </c>
      <c r="AE98" s="109">
        <v>6</v>
      </c>
      <c r="AF98" s="109">
        <v>-3</v>
      </c>
      <c r="AG98" s="109">
        <v>3</v>
      </c>
    </row>
    <row r="99" spans="1:33">
      <c r="A99">
        <v>437</v>
      </c>
      <c r="B99" t="s">
        <v>91</v>
      </c>
      <c r="C99" s="534">
        <v>-9</v>
      </c>
      <c r="D99" s="534">
        <v>-9</v>
      </c>
      <c r="E99" s="534">
        <v>-9</v>
      </c>
      <c r="F99" s="534">
        <v>-9</v>
      </c>
      <c r="G99" s="534">
        <v>-9</v>
      </c>
      <c r="H99" s="534">
        <v>-9</v>
      </c>
      <c r="I99" s="534">
        <v>-9</v>
      </c>
      <c r="J99" s="534">
        <v>-9</v>
      </c>
      <c r="K99" s="534">
        <v>-9</v>
      </c>
      <c r="L99" s="534">
        <v>-9</v>
      </c>
      <c r="M99" s="534">
        <v>-7</v>
      </c>
      <c r="N99" s="110">
        <v>-7</v>
      </c>
      <c r="O99" s="110">
        <v>-7</v>
      </c>
      <c r="P99" s="110">
        <v>-7</v>
      </c>
      <c r="Q99" s="110">
        <v>-6</v>
      </c>
      <c r="R99" s="110">
        <v>-6</v>
      </c>
      <c r="S99" s="110">
        <v>-6</v>
      </c>
      <c r="T99" s="110">
        <v>-6</v>
      </c>
      <c r="U99" s="110">
        <v>-6</v>
      </c>
      <c r="V99" s="110">
        <v>-1</v>
      </c>
      <c r="W99" s="110">
        <v>4</v>
      </c>
      <c r="X99" s="110">
        <v>4</v>
      </c>
      <c r="Y99" s="110">
        <v>0</v>
      </c>
      <c r="Z99" s="110">
        <v>0</v>
      </c>
      <c r="AA99" s="110">
        <v>0</v>
      </c>
      <c r="AB99" s="110">
        <v>0</v>
      </c>
      <c r="AC99" s="110">
        <v>0</v>
      </c>
      <c r="AD99" s="110">
        <v>0</v>
      </c>
      <c r="AE99" s="110">
        <v>0</v>
      </c>
      <c r="AF99" s="110">
        <v>0</v>
      </c>
      <c r="AG99" s="110">
        <v>0</v>
      </c>
    </row>
    <row r="100" spans="1:33">
      <c r="A100">
        <v>438</v>
      </c>
      <c r="B100" t="s">
        <v>92</v>
      </c>
      <c r="C100" s="534">
        <v>-9</v>
      </c>
      <c r="D100" s="534">
        <v>-9</v>
      </c>
      <c r="E100" s="534">
        <v>-9</v>
      </c>
      <c r="F100" s="534">
        <v>-9</v>
      </c>
      <c r="G100" s="534">
        <v>-7</v>
      </c>
      <c r="H100" s="534">
        <v>-7</v>
      </c>
      <c r="I100" s="534">
        <v>-7</v>
      </c>
      <c r="J100" s="534">
        <v>-7</v>
      </c>
      <c r="K100" s="534">
        <v>-7</v>
      </c>
      <c r="L100" s="534">
        <v>-7</v>
      </c>
      <c r="M100" s="534">
        <v>-7</v>
      </c>
      <c r="N100" s="111">
        <v>-5</v>
      </c>
      <c r="O100" s="111">
        <v>-5</v>
      </c>
      <c r="P100" s="111">
        <v>-5</v>
      </c>
      <c r="Q100" s="111">
        <v>-5</v>
      </c>
      <c r="R100" s="111">
        <v>-1</v>
      </c>
      <c r="S100" s="111">
        <v>-1</v>
      </c>
      <c r="T100" s="111">
        <v>-1</v>
      </c>
      <c r="U100" s="111">
        <v>-1</v>
      </c>
      <c r="V100" s="111">
        <v>-1</v>
      </c>
      <c r="W100" s="111">
        <v>-1</v>
      </c>
      <c r="X100" s="111">
        <v>-1</v>
      </c>
      <c r="Y100" s="111">
        <v>-1</v>
      </c>
      <c r="Z100" s="111">
        <v>-1</v>
      </c>
      <c r="AA100" s="111">
        <v>-1</v>
      </c>
      <c r="AB100" s="111">
        <v>-1</v>
      </c>
      <c r="AC100" s="111">
        <v>-1</v>
      </c>
      <c r="AD100" s="111">
        <v>-1</v>
      </c>
      <c r="AE100" s="111">
        <v>-1</v>
      </c>
      <c r="AF100" s="111">
        <v>-1</v>
      </c>
      <c r="AG100" s="111">
        <v>5</v>
      </c>
    </row>
    <row r="101" spans="1:33">
      <c r="A101">
        <v>439</v>
      </c>
      <c r="B101" t="s">
        <v>93</v>
      </c>
      <c r="C101" s="534">
        <v>-7</v>
      </c>
      <c r="D101" s="534">
        <v>-7</v>
      </c>
      <c r="E101" s="534">
        <v>-7</v>
      </c>
      <c r="F101" s="534">
        <v>-7</v>
      </c>
      <c r="G101" s="534">
        <v>-7</v>
      </c>
      <c r="H101" s="534">
        <v>-7</v>
      </c>
      <c r="I101" s="534">
        <v>-7</v>
      </c>
      <c r="J101" s="534">
        <v>-7</v>
      </c>
      <c r="K101" s="534">
        <v>-7</v>
      </c>
      <c r="L101" s="534">
        <v>-7</v>
      </c>
      <c r="M101" s="534">
        <v>-7</v>
      </c>
      <c r="N101" s="112">
        <v>-5</v>
      </c>
      <c r="O101" s="112">
        <v>-5</v>
      </c>
      <c r="P101" s="112">
        <v>-5</v>
      </c>
      <c r="Q101" s="112">
        <v>-5</v>
      </c>
      <c r="R101" s="112">
        <v>-5</v>
      </c>
      <c r="S101" s="112">
        <v>-5</v>
      </c>
      <c r="T101" s="112">
        <v>-4</v>
      </c>
      <c r="U101" s="112">
        <v>-4</v>
      </c>
      <c r="V101" s="112">
        <v>-4</v>
      </c>
      <c r="W101" s="112">
        <v>-3</v>
      </c>
      <c r="X101" s="112">
        <v>0</v>
      </c>
      <c r="Y101" s="112">
        <v>0</v>
      </c>
      <c r="Z101" s="112">
        <v>0</v>
      </c>
      <c r="AA101" s="112">
        <v>0</v>
      </c>
      <c r="AB101" s="112">
        <v>0</v>
      </c>
      <c r="AC101" s="112">
        <v>0</v>
      </c>
      <c r="AD101" s="112">
        <v>0</v>
      </c>
      <c r="AE101" s="112">
        <v>0</v>
      </c>
      <c r="AF101" s="112">
        <v>0</v>
      </c>
      <c r="AG101" s="112">
        <v>0</v>
      </c>
    </row>
    <row r="102" spans="1:33">
      <c r="A102">
        <v>450</v>
      </c>
      <c r="B102" t="s">
        <v>94</v>
      </c>
      <c r="C102" s="534">
        <v>-7</v>
      </c>
      <c r="D102" s="534">
        <v>-7</v>
      </c>
      <c r="E102" s="534">
        <v>-7</v>
      </c>
      <c r="F102" s="534">
        <v>-7</v>
      </c>
      <c r="G102" s="534">
        <v>-6</v>
      </c>
      <c r="H102" s="534">
        <v>-6</v>
      </c>
      <c r="I102" s="534">
        <v>-6</v>
      </c>
      <c r="J102" s="534">
        <v>-6</v>
      </c>
      <c r="K102" s="534">
        <v>-6</v>
      </c>
      <c r="L102" s="534">
        <v>-6</v>
      </c>
      <c r="M102" s="534">
        <v>0</v>
      </c>
      <c r="N102" s="113">
        <v>0</v>
      </c>
      <c r="O102" s="113">
        <v>0</v>
      </c>
      <c r="P102" s="113">
        <v>0</v>
      </c>
      <c r="Q102" s="113">
        <v>0</v>
      </c>
      <c r="R102" s="113">
        <v>0</v>
      </c>
      <c r="S102" s="113">
        <v>0</v>
      </c>
      <c r="T102" s="113">
        <v>0</v>
      </c>
      <c r="U102" s="113">
        <v>0</v>
      </c>
      <c r="V102" s="113">
        <v>0</v>
      </c>
      <c r="W102" s="113">
        <v>0</v>
      </c>
      <c r="X102" s="113">
        <v>0</v>
      </c>
      <c r="Y102" s="113">
        <v>0</v>
      </c>
      <c r="Z102" s="113">
        <v>1</v>
      </c>
      <c r="AA102" s="113">
        <v>3</v>
      </c>
      <c r="AB102" s="113">
        <v>5</v>
      </c>
      <c r="AC102" s="113">
        <v>6</v>
      </c>
      <c r="AD102" s="113">
        <v>6</v>
      </c>
      <c r="AE102" s="113">
        <v>6</v>
      </c>
      <c r="AF102" s="113">
        <v>6</v>
      </c>
      <c r="AG102" s="113">
        <v>6</v>
      </c>
    </row>
    <row r="103" spans="1:33">
      <c r="A103">
        <v>451</v>
      </c>
      <c r="B103" t="s">
        <v>95</v>
      </c>
      <c r="C103" s="534">
        <v>-7</v>
      </c>
      <c r="D103" s="534">
        <v>-7</v>
      </c>
      <c r="E103" s="534">
        <v>-7</v>
      </c>
      <c r="F103" s="534">
        <v>-7</v>
      </c>
      <c r="G103" s="534">
        <v>-7</v>
      </c>
      <c r="H103" s="534">
        <v>-7</v>
      </c>
      <c r="I103" s="534">
        <v>-7</v>
      </c>
      <c r="J103" s="534">
        <v>-7</v>
      </c>
      <c r="K103" s="534">
        <v>-7</v>
      </c>
      <c r="L103" s="534">
        <v>-7</v>
      </c>
      <c r="M103" s="534">
        <v>-7</v>
      </c>
      <c r="N103" s="114">
        <v>-6</v>
      </c>
      <c r="O103" s="114">
        <v>-7</v>
      </c>
      <c r="P103" s="114">
        <v>-7</v>
      </c>
      <c r="Q103" s="114">
        <v>-7</v>
      </c>
      <c r="R103" s="114">
        <v>-7</v>
      </c>
      <c r="S103" s="114">
        <v>4</v>
      </c>
      <c r="T103" s="114">
        <v>0</v>
      </c>
      <c r="U103" s="114">
        <v>0</v>
      </c>
      <c r="V103" s="114">
        <v>0</v>
      </c>
      <c r="W103" s="114">
        <v>0</v>
      </c>
      <c r="X103" s="114">
        <v>2</v>
      </c>
      <c r="Y103" s="114">
        <v>5</v>
      </c>
      <c r="Z103" s="114">
        <v>5</v>
      </c>
      <c r="AA103" s="114">
        <v>5</v>
      </c>
      <c r="AB103" s="114">
        <v>5</v>
      </c>
      <c r="AC103" s="114">
        <v>5</v>
      </c>
      <c r="AD103" s="114">
        <v>7</v>
      </c>
      <c r="AE103" s="114">
        <v>7</v>
      </c>
      <c r="AF103" s="114">
        <v>7</v>
      </c>
      <c r="AG103" s="114">
        <v>7</v>
      </c>
    </row>
    <row r="104" spans="1:33">
      <c r="A104">
        <v>452</v>
      </c>
      <c r="B104" t="s">
        <v>96</v>
      </c>
      <c r="C104" s="534">
        <v>6</v>
      </c>
      <c r="D104" s="534">
        <v>-7</v>
      </c>
      <c r="E104" s="534">
        <v>-7</v>
      </c>
      <c r="F104" s="534">
        <v>-7</v>
      </c>
      <c r="G104" s="534">
        <v>-7</v>
      </c>
      <c r="H104" s="534">
        <v>-7</v>
      </c>
      <c r="I104" s="534">
        <v>-7</v>
      </c>
      <c r="J104" s="534">
        <v>-7</v>
      </c>
      <c r="K104" s="534">
        <v>-7</v>
      </c>
      <c r="L104" s="534">
        <v>-7</v>
      </c>
      <c r="M104" s="534">
        <v>-7</v>
      </c>
      <c r="N104" s="115">
        <v>-4</v>
      </c>
      <c r="O104" s="115">
        <v>-1</v>
      </c>
      <c r="P104" s="115">
        <v>-1</v>
      </c>
      <c r="Q104" s="115">
        <v>-1</v>
      </c>
      <c r="R104" s="115">
        <v>-1</v>
      </c>
      <c r="S104" s="115">
        <v>2</v>
      </c>
      <c r="T104" s="115">
        <v>2</v>
      </c>
      <c r="U104" s="115">
        <v>2</v>
      </c>
      <c r="V104" s="115">
        <v>2</v>
      </c>
      <c r="W104" s="115">
        <v>2</v>
      </c>
      <c r="X104" s="115">
        <v>6</v>
      </c>
      <c r="Y104" s="115">
        <v>6</v>
      </c>
      <c r="Z104" s="115">
        <v>6</v>
      </c>
      <c r="AA104" s="115">
        <v>8</v>
      </c>
      <c r="AB104" s="115">
        <v>8</v>
      </c>
      <c r="AC104" s="115">
        <v>8</v>
      </c>
      <c r="AD104" s="115">
        <v>8</v>
      </c>
      <c r="AE104" s="115">
        <v>8</v>
      </c>
      <c r="AF104" s="115">
        <v>8</v>
      </c>
      <c r="AG104" s="115">
        <v>8</v>
      </c>
    </row>
    <row r="105" spans="1:33">
      <c r="A105">
        <v>461</v>
      </c>
      <c r="B105" t="s">
        <v>97</v>
      </c>
      <c r="C105" s="534">
        <v>-7</v>
      </c>
      <c r="D105" s="534">
        <v>-7</v>
      </c>
      <c r="E105" s="534">
        <v>-7</v>
      </c>
      <c r="F105" s="534">
        <v>-7</v>
      </c>
      <c r="G105" s="534">
        <v>-7</v>
      </c>
      <c r="H105" s="534">
        <v>-7</v>
      </c>
      <c r="I105" s="534">
        <v>-7</v>
      </c>
      <c r="J105" s="534">
        <v>-7</v>
      </c>
      <c r="K105" s="534">
        <v>-7</v>
      </c>
      <c r="L105" s="534">
        <v>-7</v>
      </c>
      <c r="M105" s="534">
        <v>-7</v>
      </c>
      <c r="N105" s="116">
        <v>-5</v>
      </c>
      <c r="O105" s="116">
        <v>-3</v>
      </c>
      <c r="P105" s="116">
        <v>-2</v>
      </c>
      <c r="Q105" s="116">
        <v>-2</v>
      </c>
      <c r="R105" s="116">
        <v>-2</v>
      </c>
      <c r="S105" s="116">
        <v>-2</v>
      </c>
      <c r="T105" s="116">
        <v>-2</v>
      </c>
      <c r="U105" s="116">
        <v>-2</v>
      </c>
      <c r="V105" s="116">
        <v>-2</v>
      </c>
      <c r="W105" s="116">
        <v>-2</v>
      </c>
      <c r="X105" s="116">
        <v>-2</v>
      </c>
      <c r="Y105" s="116">
        <v>-2</v>
      </c>
      <c r="Z105" s="116">
        <v>-2</v>
      </c>
      <c r="AA105" s="116">
        <v>-2</v>
      </c>
      <c r="AB105" s="116">
        <v>-4</v>
      </c>
      <c r="AC105" s="116">
        <v>-4</v>
      </c>
      <c r="AD105" s="116">
        <v>-4</v>
      </c>
      <c r="AE105" s="116">
        <v>-4</v>
      </c>
      <c r="AF105" s="116">
        <v>-4</v>
      </c>
      <c r="AG105" s="116">
        <v>-2</v>
      </c>
    </row>
    <row r="106" spans="1:33">
      <c r="A106">
        <v>471</v>
      </c>
      <c r="B106" t="s">
        <v>98</v>
      </c>
      <c r="C106" s="534">
        <v>-8</v>
      </c>
      <c r="D106" s="534">
        <v>-8</v>
      </c>
      <c r="E106" s="534">
        <v>-7</v>
      </c>
      <c r="F106" s="534">
        <v>-8</v>
      </c>
      <c r="G106" s="534">
        <v>-8</v>
      </c>
      <c r="H106" s="534">
        <v>-8</v>
      </c>
      <c r="I106" s="534">
        <v>-8</v>
      </c>
      <c r="J106" s="534">
        <v>-8</v>
      </c>
      <c r="K106" s="534">
        <v>-8</v>
      </c>
      <c r="L106" s="534">
        <v>-8</v>
      </c>
      <c r="M106" s="534">
        <v>-8</v>
      </c>
      <c r="N106" s="117">
        <v>-8</v>
      </c>
      <c r="O106" s="117">
        <v>-4</v>
      </c>
      <c r="P106" s="117">
        <v>-4</v>
      </c>
      <c r="Q106" s="117">
        <v>-4</v>
      </c>
      <c r="R106" s="117">
        <v>-4</v>
      </c>
      <c r="S106" s="117">
        <v>-4</v>
      </c>
      <c r="T106" s="117">
        <v>-4</v>
      </c>
      <c r="U106" s="117">
        <v>-4</v>
      </c>
      <c r="V106" s="117">
        <v>-4</v>
      </c>
      <c r="W106" s="117">
        <v>-4</v>
      </c>
      <c r="X106" s="117">
        <v>-4</v>
      </c>
      <c r="Y106" s="117">
        <v>-4</v>
      </c>
      <c r="Z106" s="117">
        <v>-4</v>
      </c>
      <c r="AA106" s="117">
        <v>-4</v>
      </c>
      <c r="AB106" s="117">
        <v>-4</v>
      </c>
      <c r="AC106" s="117">
        <v>-4</v>
      </c>
      <c r="AD106" s="117">
        <v>-4</v>
      </c>
      <c r="AE106" s="117">
        <v>-4</v>
      </c>
      <c r="AF106" s="117">
        <v>-4</v>
      </c>
      <c r="AG106" s="117">
        <v>-4</v>
      </c>
    </row>
    <row r="107" spans="1:33">
      <c r="A107">
        <v>475</v>
      </c>
      <c r="B107" t="s">
        <v>99</v>
      </c>
      <c r="C107" s="534">
        <v>7</v>
      </c>
      <c r="D107" s="534">
        <v>7</v>
      </c>
      <c r="E107" s="534">
        <v>7</v>
      </c>
      <c r="F107" s="534">
        <v>7</v>
      </c>
      <c r="G107" s="534">
        <v>-7</v>
      </c>
      <c r="H107" s="534">
        <v>-7</v>
      </c>
      <c r="I107" s="534">
        <v>-7</v>
      </c>
      <c r="J107" s="534">
        <v>-7</v>
      </c>
      <c r="K107" s="534">
        <v>-7</v>
      </c>
      <c r="L107" s="534">
        <v>-5</v>
      </c>
      <c r="M107" s="534">
        <v>-5</v>
      </c>
      <c r="N107" s="118">
        <v>-5</v>
      </c>
      <c r="O107" s="118">
        <v>-5</v>
      </c>
      <c r="P107" s="118">
        <v>-7</v>
      </c>
      <c r="Q107" s="118">
        <v>-7</v>
      </c>
      <c r="R107" s="118">
        <v>-6</v>
      </c>
      <c r="S107" s="118">
        <v>-6</v>
      </c>
      <c r="T107" s="118">
        <v>-6</v>
      </c>
      <c r="U107" s="118">
        <v>-1</v>
      </c>
      <c r="V107" s="118">
        <v>4</v>
      </c>
      <c r="W107" s="118">
        <v>4</v>
      </c>
      <c r="X107" s="118">
        <v>4</v>
      </c>
      <c r="Y107" s="118">
        <v>4</v>
      </c>
      <c r="Z107" s="118">
        <v>4</v>
      </c>
      <c r="AA107" s="118">
        <v>4</v>
      </c>
      <c r="AB107" s="118">
        <v>4</v>
      </c>
      <c r="AC107" s="118">
        <v>4</v>
      </c>
      <c r="AD107" s="118">
        <v>4</v>
      </c>
      <c r="AE107" s="118">
        <v>4</v>
      </c>
      <c r="AF107" s="118">
        <v>4</v>
      </c>
      <c r="AG107" s="118">
        <v>4</v>
      </c>
    </row>
    <row r="108" spans="1:33">
      <c r="A108">
        <v>481</v>
      </c>
      <c r="B108" t="s">
        <v>100</v>
      </c>
      <c r="C108" s="534">
        <v>-9</v>
      </c>
      <c r="D108" s="534">
        <v>-9</v>
      </c>
      <c r="E108" s="534">
        <v>-9</v>
      </c>
      <c r="F108" s="534">
        <v>-9</v>
      </c>
      <c r="G108" s="534">
        <v>-9</v>
      </c>
      <c r="H108" s="534">
        <v>-9</v>
      </c>
      <c r="I108" s="534">
        <v>-9</v>
      </c>
      <c r="J108" s="534">
        <v>-9</v>
      </c>
      <c r="K108" s="534">
        <v>-9</v>
      </c>
      <c r="L108" s="534">
        <v>-9</v>
      </c>
      <c r="M108" s="534">
        <v>-6</v>
      </c>
      <c r="N108" s="119">
        <v>-4</v>
      </c>
      <c r="O108" s="119">
        <v>-4</v>
      </c>
      <c r="P108" s="119">
        <v>-4</v>
      </c>
      <c r="Q108" s="119">
        <v>-4</v>
      </c>
      <c r="R108" s="119">
        <v>-4</v>
      </c>
      <c r="S108" s="119">
        <v>-4</v>
      </c>
      <c r="T108" s="119">
        <v>-4</v>
      </c>
      <c r="U108" s="119">
        <v>-4</v>
      </c>
      <c r="V108" s="119">
        <v>-4</v>
      </c>
      <c r="W108" s="119">
        <v>-4</v>
      </c>
      <c r="X108" s="119">
        <v>-4</v>
      </c>
      <c r="Y108" s="119">
        <v>-4</v>
      </c>
      <c r="Z108" s="119">
        <v>-4</v>
      </c>
      <c r="AA108" s="119">
        <v>-4</v>
      </c>
      <c r="AB108" s="119">
        <v>-4</v>
      </c>
      <c r="AC108" s="119">
        <v>-4</v>
      </c>
      <c r="AD108" s="119">
        <v>-4</v>
      </c>
      <c r="AE108" s="119">
        <v>-4</v>
      </c>
      <c r="AF108" s="119">
        <v>3</v>
      </c>
      <c r="AG108" s="119">
        <v>3</v>
      </c>
    </row>
    <row r="109" spans="1:33">
      <c r="A109">
        <v>482</v>
      </c>
      <c r="B109" t="s">
        <v>101</v>
      </c>
      <c r="C109" s="534">
        <v>-7</v>
      </c>
      <c r="D109" s="534">
        <v>-7</v>
      </c>
      <c r="E109" s="534">
        <v>-7</v>
      </c>
      <c r="F109" s="534">
        <v>-7</v>
      </c>
      <c r="G109" s="534">
        <v>-7</v>
      </c>
      <c r="H109" s="534">
        <v>-7</v>
      </c>
      <c r="I109" s="534">
        <v>-7</v>
      </c>
      <c r="J109" s="534">
        <v>-7</v>
      </c>
      <c r="K109" s="534">
        <v>-7</v>
      </c>
      <c r="L109" s="534">
        <v>-7</v>
      </c>
      <c r="M109" s="534">
        <v>-7</v>
      </c>
      <c r="N109" s="120">
        <v>-6</v>
      </c>
      <c r="O109" s="120">
        <v>-6</v>
      </c>
      <c r="P109" s="120">
        <v>5</v>
      </c>
      <c r="Q109" s="120">
        <v>5</v>
      </c>
      <c r="R109" s="120">
        <v>5</v>
      </c>
      <c r="S109" s="120">
        <v>5</v>
      </c>
      <c r="T109" s="120">
        <v>5</v>
      </c>
      <c r="U109" s="120">
        <v>5</v>
      </c>
      <c r="V109" s="120">
        <v>5</v>
      </c>
      <c r="W109" s="120">
        <v>5</v>
      </c>
      <c r="X109" s="120">
        <v>5</v>
      </c>
      <c r="Y109" s="120">
        <v>5</v>
      </c>
      <c r="Z109" s="120">
        <v>-1</v>
      </c>
      <c r="AA109" s="120">
        <v>-1</v>
      </c>
      <c r="AB109" s="120">
        <v>-1</v>
      </c>
      <c r="AC109" s="120">
        <v>-1</v>
      </c>
      <c r="AD109" s="120">
        <v>-1</v>
      </c>
      <c r="AE109" s="120">
        <v>-1</v>
      </c>
      <c r="AF109" s="120">
        <v>-1</v>
      </c>
      <c r="AG109" s="120">
        <v>-1</v>
      </c>
    </row>
    <row r="110" spans="1:33">
      <c r="A110">
        <v>483</v>
      </c>
      <c r="B110" t="s">
        <v>102</v>
      </c>
      <c r="C110" s="534">
        <v>0</v>
      </c>
      <c r="D110" s="534">
        <v>0</v>
      </c>
      <c r="E110" s="534">
        <v>0</v>
      </c>
      <c r="F110" s="534">
        <v>0</v>
      </c>
      <c r="G110" s="534">
        <v>-4</v>
      </c>
      <c r="H110" s="534">
        <v>-7</v>
      </c>
      <c r="I110" s="534">
        <v>-7</v>
      </c>
      <c r="J110" s="534">
        <v>-7</v>
      </c>
      <c r="K110" s="534">
        <v>-7</v>
      </c>
      <c r="L110" s="534">
        <v>-7</v>
      </c>
      <c r="M110" s="534">
        <v>-7</v>
      </c>
      <c r="N110" s="121">
        <v>-5</v>
      </c>
      <c r="O110" s="121">
        <v>-4</v>
      </c>
      <c r="P110" s="121">
        <v>-4</v>
      </c>
      <c r="Q110" s="121">
        <v>-4</v>
      </c>
      <c r="R110" s="121">
        <v>-4</v>
      </c>
      <c r="S110" s="121">
        <v>-2</v>
      </c>
      <c r="T110" s="121">
        <v>-2</v>
      </c>
      <c r="U110" s="121">
        <v>-2</v>
      </c>
      <c r="V110" s="121">
        <v>-2</v>
      </c>
      <c r="W110" s="121">
        <v>-2</v>
      </c>
      <c r="X110" s="121">
        <v>-2</v>
      </c>
      <c r="Y110" s="121">
        <v>-2</v>
      </c>
      <c r="Z110" s="121">
        <v>-2</v>
      </c>
      <c r="AA110" s="121">
        <v>-2</v>
      </c>
      <c r="AB110" s="121">
        <v>-2</v>
      </c>
      <c r="AC110" s="121">
        <v>-2</v>
      </c>
      <c r="AD110" s="121">
        <v>-2</v>
      </c>
      <c r="AE110" s="121">
        <v>-2</v>
      </c>
      <c r="AF110" s="121">
        <v>-2</v>
      </c>
      <c r="AG110" s="121">
        <v>-2</v>
      </c>
    </row>
    <row r="111" spans="1:33">
      <c r="A111">
        <v>484</v>
      </c>
      <c r="B111" t="s">
        <v>103</v>
      </c>
      <c r="C111" s="534">
        <v>-8</v>
      </c>
      <c r="D111" s="534">
        <v>-8</v>
      </c>
      <c r="E111" s="534">
        <v>-8</v>
      </c>
      <c r="F111" s="534">
        <v>-8</v>
      </c>
      <c r="G111" s="534">
        <v>-8</v>
      </c>
      <c r="H111" s="534">
        <v>-8</v>
      </c>
      <c r="I111" s="534">
        <v>-8</v>
      </c>
      <c r="J111" s="534">
        <v>-8</v>
      </c>
      <c r="K111" s="534">
        <v>-8</v>
      </c>
      <c r="L111" s="534">
        <v>-8</v>
      </c>
      <c r="M111" s="534">
        <v>-8</v>
      </c>
      <c r="N111" s="122">
        <v>-1</v>
      </c>
      <c r="O111" s="122">
        <v>5</v>
      </c>
      <c r="P111" s="122">
        <v>5</v>
      </c>
      <c r="Q111" s="122">
        <v>5</v>
      </c>
      <c r="R111" s="122">
        <v>5</v>
      </c>
      <c r="S111" s="122">
        <v>5</v>
      </c>
      <c r="T111" s="122">
        <v>-6</v>
      </c>
      <c r="U111" s="122">
        <v>-6</v>
      </c>
      <c r="V111" s="122">
        <v>-6</v>
      </c>
      <c r="W111" s="122">
        <v>-6</v>
      </c>
      <c r="X111" s="122">
        <v>-5</v>
      </c>
      <c r="Y111" s="122">
        <v>-4</v>
      </c>
      <c r="Z111" s="122">
        <v>-4</v>
      </c>
      <c r="AA111" s="122">
        <v>-4</v>
      </c>
      <c r="AB111" s="122">
        <v>-4</v>
      </c>
      <c r="AC111" s="122">
        <v>-4</v>
      </c>
      <c r="AD111" s="122">
        <v>-4</v>
      </c>
      <c r="AE111" s="122">
        <v>-4</v>
      </c>
      <c r="AF111" s="122">
        <v>-4</v>
      </c>
      <c r="AG111" s="122">
        <v>-4</v>
      </c>
    </row>
    <row r="112" spans="1:33">
      <c r="A112">
        <v>490</v>
      </c>
      <c r="B112" t="s">
        <v>104</v>
      </c>
      <c r="C112" s="534">
        <v>-9</v>
      </c>
      <c r="D112" s="534">
        <v>-9</v>
      </c>
      <c r="E112" s="534">
        <v>-9</v>
      </c>
      <c r="F112" s="534">
        <v>-9</v>
      </c>
      <c r="G112" s="534">
        <v>-9</v>
      </c>
      <c r="H112" s="534">
        <v>-9</v>
      </c>
      <c r="I112" s="534">
        <v>-9</v>
      </c>
      <c r="J112" s="534">
        <v>-9</v>
      </c>
      <c r="K112" s="534">
        <v>-9</v>
      </c>
      <c r="L112" s="534">
        <v>-9</v>
      </c>
      <c r="M112" s="534">
        <v>-8</v>
      </c>
      <c r="N112" s="123">
        <v>-8</v>
      </c>
      <c r="O112" s="123">
        <v>0</v>
      </c>
      <c r="P112" s="123">
        <v>0</v>
      </c>
      <c r="Q112" s="123"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1</v>
      </c>
      <c r="AA112" s="123">
        <v>3</v>
      </c>
      <c r="AB112" s="123">
        <v>4</v>
      </c>
      <c r="AC112" s="123">
        <v>5</v>
      </c>
      <c r="AD112" s="123">
        <v>5</v>
      </c>
      <c r="AE112" s="123">
        <v>5</v>
      </c>
      <c r="AF112" s="123">
        <v>5</v>
      </c>
      <c r="AG112" s="123">
        <v>5</v>
      </c>
    </row>
    <row r="113" spans="1:33">
      <c r="A113">
        <v>500</v>
      </c>
      <c r="B113" t="s">
        <v>105</v>
      </c>
      <c r="C113" s="534">
        <v>3</v>
      </c>
      <c r="D113" s="534">
        <v>3</v>
      </c>
      <c r="E113" s="534">
        <v>3</v>
      </c>
      <c r="F113" s="534">
        <v>3</v>
      </c>
      <c r="G113" s="534">
        <v>3</v>
      </c>
      <c r="H113" s="534">
        <v>0</v>
      </c>
      <c r="I113" s="534">
        <v>-7</v>
      </c>
      <c r="J113" s="534">
        <v>-7</v>
      </c>
      <c r="K113" s="534">
        <v>-7</v>
      </c>
      <c r="L113" s="534">
        <v>-7</v>
      </c>
      <c r="M113" s="534">
        <v>-7</v>
      </c>
      <c r="N113" s="124">
        <v>-7</v>
      </c>
      <c r="O113" s="124">
        <v>-7</v>
      </c>
      <c r="P113" s="124">
        <v>-4</v>
      </c>
      <c r="Q113" s="124">
        <v>-4</v>
      </c>
      <c r="R113" s="124">
        <v>-4</v>
      </c>
      <c r="S113" s="124">
        <v>-4</v>
      </c>
      <c r="T113" s="124">
        <v>-4</v>
      </c>
      <c r="U113" s="124">
        <v>-4</v>
      </c>
      <c r="V113" s="124">
        <v>-4</v>
      </c>
      <c r="W113" s="124">
        <v>-4</v>
      </c>
      <c r="X113" s="124">
        <v>-4</v>
      </c>
      <c r="Y113" s="124">
        <v>-4</v>
      </c>
      <c r="Z113" s="124">
        <v>-4</v>
      </c>
      <c r="AA113" s="124">
        <v>-4</v>
      </c>
      <c r="AB113" s="124">
        <v>-1</v>
      </c>
      <c r="AC113" s="124">
        <v>-1</v>
      </c>
      <c r="AD113" s="124">
        <v>-1</v>
      </c>
      <c r="AE113" s="124">
        <v>-1</v>
      </c>
      <c r="AF113" s="124">
        <v>-1</v>
      </c>
      <c r="AG113" s="124">
        <v>-1</v>
      </c>
    </row>
    <row r="114" spans="1:33">
      <c r="A114">
        <v>501</v>
      </c>
      <c r="B114" t="s">
        <v>106</v>
      </c>
      <c r="C114" s="534">
        <v>-6</v>
      </c>
      <c r="D114" s="534">
        <v>-6</v>
      </c>
      <c r="E114" s="534">
        <v>-7</v>
      </c>
      <c r="F114" s="534">
        <v>-7</v>
      </c>
      <c r="G114" s="534">
        <v>-7</v>
      </c>
      <c r="H114" s="534">
        <v>-7</v>
      </c>
      <c r="I114" s="534">
        <v>-7</v>
      </c>
      <c r="J114" s="534">
        <v>-7</v>
      </c>
      <c r="K114" s="534">
        <v>-7</v>
      </c>
      <c r="L114" s="534">
        <v>-7</v>
      </c>
      <c r="M114" s="534">
        <v>-7</v>
      </c>
      <c r="N114" s="125">
        <v>-5</v>
      </c>
      <c r="O114" s="125">
        <v>-5</v>
      </c>
      <c r="P114" s="125">
        <v>-5</v>
      </c>
      <c r="Q114" s="125">
        <v>-5</v>
      </c>
      <c r="R114" s="125">
        <v>-5</v>
      </c>
      <c r="S114" s="125">
        <v>-5</v>
      </c>
      <c r="T114" s="125">
        <v>-2</v>
      </c>
      <c r="U114" s="125">
        <v>-2</v>
      </c>
      <c r="V114" s="125">
        <v>-2</v>
      </c>
      <c r="W114" s="125">
        <v>-2</v>
      </c>
      <c r="X114" s="125">
        <v>-2</v>
      </c>
      <c r="Y114" s="125">
        <v>8</v>
      </c>
      <c r="Z114" s="125">
        <v>8</v>
      </c>
      <c r="AA114" s="125">
        <v>8</v>
      </c>
      <c r="AB114" s="125">
        <v>8</v>
      </c>
      <c r="AC114" s="125">
        <v>8</v>
      </c>
      <c r="AD114" s="125">
        <v>7</v>
      </c>
      <c r="AE114" s="125">
        <v>7</v>
      </c>
      <c r="AF114" s="125">
        <v>7</v>
      </c>
      <c r="AG114" s="125">
        <v>8</v>
      </c>
    </row>
    <row r="115" spans="1:33">
      <c r="A115">
        <v>510</v>
      </c>
      <c r="B115" t="s">
        <v>107</v>
      </c>
      <c r="C115" s="534">
        <v>-6</v>
      </c>
      <c r="D115" s="534">
        <v>-6</v>
      </c>
      <c r="E115" s="534">
        <v>-6</v>
      </c>
      <c r="F115" s="534">
        <v>-6</v>
      </c>
      <c r="G115" s="534">
        <v>-6</v>
      </c>
      <c r="H115" s="534">
        <v>-6</v>
      </c>
      <c r="I115" s="534">
        <v>-6</v>
      </c>
      <c r="J115" s="534">
        <v>-6</v>
      </c>
      <c r="K115" s="534">
        <v>-6</v>
      </c>
      <c r="L115" s="534">
        <v>-6</v>
      </c>
      <c r="M115" s="534">
        <v>-6</v>
      </c>
      <c r="N115" s="126">
        <v>-6</v>
      </c>
      <c r="O115" s="126">
        <v>-5</v>
      </c>
      <c r="P115" s="126">
        <v>-5</v>
      </c>
      <c r="Q115" s="126">
        <v>-5</v>
      </c>
      <c r="R115" s="126">
        <v>-1</v>
      </c>
      <c r="S115" s="126">
        <v>-1</v>
      </c>
      <c r="T115" s="126">
        <v>-1</v>
      </c>
      <c r="U115" s="126">
        <v>-1</v>
      </c>
      <c r="V115" s="126">
        <v>-1</v>
      </c>
      <c r="W115" s="126">
        <v>-1</v>
      </c>
      <c r="X115" s="126">
        <v>-1</v>
      </c>
      <c r="Y115" s="126">
        <v>-1</v>
      </c>
      <c r="Z115" s="126">
        <v>-1</v>
      </c>
      <c r="AA115" s="126">
        <v>-1</v>
      </c>
      <c r="AB115" s="126">
        <v>-1</v>
      </c>
      <c r="AC115" s="126">
        <v>-1</v>
      </c>
      <c r="AD115" s="126">
        <v>-1</v>
      </c>
      <c r="AE115" s="126">
        <v>-1</v>
      </c>
      <c r="AF115" s="126">
        <v>-1</v>
      </c>
      <c r="AG115" s="126">
        <v>-1</v>
      </c>
    </row>
    <row r="116" spans="1:33">
      <c r="A116">
        <v>516</v>
      </c>
      <c r="B116" t="s">
        <v>108</v>
      </c>
      <c r="C116" s="534">
        <v>-7</v>
      </c>
      <c r="D116" s="534">
        <v>-7</v>
      </c>
      <c r="E116" s="534">
        <v>-7</v>
      </c>
      <c r="F116" s="534">
        <v>-7</v>
      </c>
      <c r="G116" s="534">
        <v>-7</v>
      </c>
      <c r="H116" s="534">
        <v>-7</v>
      </c>
      <c r="I116" s="534">
        <v>-7</v>
      </c>
      <c r="J116" s="534">
        <v>-7</v>
      </c>
      <c r="K116" s="534">
        <v>-7</v>
      </c>
      <c r="L116" s="534">
        <v>-7</v>
      </c>
      <c r="M116" s="534">
        <v>-7</v>
      </c>
      <c r="N116">
        <v>-7</v>
      </c>
      <c r="O116">
        <v>-3</v>
      </c>
      <c r="P116">
        <v>0</v>
      </c>
      <c r="Q116">
        <v>0</v>
      </c>
      <c r="R116">
        <v>0</v>
      </c>
      <c r="S116">
        <v>-5</v>
      </c>
      <c r="T116">
        <v>-5</v>
      </c>
      <c r="U116">
        <v>-1</v>
      </c>
      <c r="V116">
        <v>-1</v>
      </c>
      <c r="W116">
        <v>-1</v>
      </c>
      <c r="X116">
        <v>0</v>
      </c>
      <c r="Y116">
        <v>2</v>
      </c>
      <c r="Z116">
        <v>3</v>
      </c>
      <c r="AA116">
        <v>5</v>
      </c>
      <c r="AB116">
        <v>6</v>
      </c>
      <c r="AC116">
        <v>6</v>
      </c>
      <c r="AD116">
        <v>6</v>
      </c>
      <c r="AE116">
        <v>6</v>
      </c>
      <c r="AF116">
        <v>6</v>
      </c>
      <c r="AG116">
        <v>6</v>
      </c>
    </row>
    <row r="117" spans="1:33">
      <c r="A117">
        <v>517</v>
      </c>
      <c r="B117" t="s">
        <v>109</v>
      </c>
      <c r="C117" s="534">
        <v>-7</v>
      </c>
      <c r="D117" s="534">
        <v>-7</v>
      </c>
      <c r="E117" s="534">
        <v>-7</v>
      </c>
      <c r="F117" s="534">
        <v>-7</v>
      </c>
      <c r="G117" s="534">
        <v>-7</v>
      </c>
      <c r="H117" s="534">
        <v>-7</v>
      </c>
      <c r="I117" s="534">
        <v>-7</v>
      </c>
      <c r="J117" s="534">
        <v>-7</v>
      </c>
      <c r="K117" s="534">
        <v>-7</v>
      </c>
      <c r="L117" s="534">
        <v>-7</v>
      </c>
      <c r="M117" s="534">
        <v>-7</v>
      </c>
      <c r="N117">
        <v>-7</v>
      </c>
      <c r="O117">
        <v>-7</v>
      </c>
      <c r="P117">
        <v>-7</v>
      </c>
      <c r="Q117">
        <v>-6</v>
      </c>
      <c r="R117">
        <v>-6</v>
      </c>
      <c r="S117">
        <v>-6</v>
      </c>
      <c r="T117">
        <v>-6</v>
      </c>
      <c r="U117">
        <v>-6</v>
      </c>
      <c r="V117">
        <v>-6</v>
      </c>
      <c r="W117">
        <v>-4</v>
      </c>
      <c r="X117">
        <v>-4</v>
      </c>
      <c r="Y117">
        <v>-4</v>
      </c>
      <c r="Z117">
        <v>-3</v>
      </c>
      <c r="AA117">
        <v>-3</v>
      </c>
      <c r="AB117">
        <v>-3</v>
      </c>
      <c r="AC117">
        <v>-3</v>
      </c>
      <c r="AD117">
        <v>-3</v>
      </c>
      <c r="AE117">
        <v>-3</v>
      </c>
      <c r="AF117">
        <v>-3</v>
      </c>
      <c r="AG117">
        <v>-4</v>
      </c>
    </row>
    <row r="118" spans="1:33">
      <c r="A118">
        <v>520</v>
      </c>
      <c r="B118" t="s">
        <v>110</v>
      </c>
      <c r="C118" s="534">
        <v>-7</v>
      </c>
      <c r="D118" s="534">
        <v>-7</v>
      </c>
      <c r="E118" s="534">
        <v>-7</v>
      </c>
      <c r="F118" s="534">
        <v>-7</v>
      </c>
      <c r="G118" s="534">
        <v>-7</v>
      </c>
      <c r="H118" s="534">
        <v>-7</v>
      </c>
      <c r="I118" s="534">
        <v>-7</v>
      </c>
      <c r="J118" s="534">
        <v>-7</v>
      </c>
      <c r="K118" s="534">
        <v>-7</v>
      </c>
      <c r="L118" s="534">
        <v>-7</v>
      </c>
      <c r="M118" s="534">
        <v>-7</v>
      </c>
      <c r="N118" s="127">
        <v>0</v>
      </c>
      <c r="O118" s="127">
        <v>0</v>
      </c>
      <c r="P118" s="127">
        <v>0</v>
      </c>
      <c r="Q118" s="127">
        <v>0</v>
      </c>
      <c r="R118" s="127">
        <v>0</v>
      </c>
      <c r="S118" s="127">
        <v>0</v>
      </c>
      <c r="T118" s="127">
        <v>0</v>
      </c>
      <c r="U118" s="127">
        <v>0</v>
      </c>
      <c r="V118" s="127">
        <v>0</v>
      </c>
      <c r="W118" s="127">
        <v>0</v>
      </c>
      <c r="X118" s="127">
        <v>0</v>
      </c>
      <c r="Y118" s="127">
        <v>0</v>
      </c>
      <c r="Z118" s="127">
        <v>0</v>
      </c>
      <c r="AA118" s="127">
        <v>0</v>
      </c>
      <c r="AB118" s="127">
        <v>0</v>
      </c>
      <c r="AC118" s="127">
        <v>0</v>
      </c>
      <c r="AD118" s="127">
        <v>0</v>
      </c>
      <c r="AE118" s="127">
        <v>0</v>
      </c>
      <c r="AF118" s="127">
        <v>0</v>
      </c>
      <c r="AG118" s="127">
        <v>0</v>
      </c>
    </row>
    <row r="119" spans="1:33">
      <c r="A119">
        <v>522</v>
      </c>
      <c r="B119" t="s">
        <v>111</v>
      </c>
      <c r="C119" s="534">
        <v>-8</v>
      </c>
      <c r="D119" s="534">
        <v>-8</v>
      </c>
      <c r="E119" s="534">
        <v>-8</v>
      </c>
      <c r="F119" s="534">
        <v>-8</v>
      </c>
      <c r="G119" s="534">
        <v>-8</v>
      </c>
      <c r="H119" s="534">
        <v>-8</v>
      </c>
      <c r="I119" s="534">
        <v>-8</v>
      </c>
      <c r="J119" s="534">
        <v>-8</v>
      </c>
      <c r="K119" s="534">
        <v>-8</v>
      </c>
      <c r="L119" s="534">
        <v>-8</v>
      </c>
      <c r="M119" s="534">
        <v>-8</v>
      </c>
      <c r="N119">
        <v>-8</v>
      </c>
      <c r="O119">
        <v>-7</v>
      </c>
      <c r="P119">
        <v>-7</v>
      </c>
      <c r="Q119">
        <v>-7</v>
      </c>
      <c r="R119">
        <v>-7</v>
      </c>
      <c r="S119">
        <v>-6</v>
      </c>
      <c r="T119">
        <v>-6</v>
      </c>
      <c r="U119">
        <v>-6</v>
      </c>
      <c r="V119">
        <v>2</v>
      </c>
      <c r="W119">
        <v>2</v>
      </c>
      <c r="X119">
        <v>2</v>
      </c>
      <c r="Y119">
        <v>2</v>
      </c>
      <c r="Z119">
        <v>2</v>
      </c>
      <c r="AA119">
        <v>2</v>
      </c>
      <c r="AB119">
        <v>2</v>
      </c>
      <c r="AC119">
        <v>2</v>
      </c>
      <c r="AD119">
        <v>2</v>
      </c>
      <c r="AE119">
        <v>2</v>
      </c>
      <c r="AF119">
        <v>2</v>
      </c>
      <c r="AG119">
        <v>2</v>
      </c>
    </row>
    <row r="120" spans="1:33">
      <c r="A120">
        <v>530</v>
      </c>
      <c r="B120" t="s">
        <v>112</v>
      </c>
      <c r="C120" s="534">
        <v>-7</v>
      </c>
      <c r="D120" s="534">
        <v>-7</v>
      </c>
      <c r="E120" s="534">
        <v>-7</v>
      </c>
      <c r="F120" s="534">
        <v>-7</v>
      </c>
      <c r="G120" s="534">
        <v>-8</v>
      </c>
      <c r="H120" s="534">
        <v>-8</v>
      </c>
      <c r="I120" s="534">
        <v>-8</v>
      </c>
      <c r="J120" s="534">
        <v>-8</v>
      </c>
      <c r="K120" s="534">
        <v>-8</v>
      </c>
      <c r="L120" s="534">
        <v>-8</v>
      </c>
      <c r="M120" s="534">
        <v>-8</v>
      </c>
      <c r="N120">
        <v>0</v>
      </c>
      <c r="O120">
        <v>0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>
        <v>1</v>
      </c>
      <c r="AF120">
        <v>1</v>
      </c>
      <c r="AG120">
        <v>1</v>
      </c>
    </row>
    <row r="121" spans="1:33">
      <c r="A121">
        <v>531</v>
      </c>
      <c r="B121" t="s">
        <v>113</v>
      </c>
      <c r="P121">
        <v>-6</v>
      </c>
      <c r="Q121">
        <v>-6</v>
      </c>
      <c r="R121">
        <v>-6</v>
      </c>
      <c r="S121">
        <v>-6</v>
      </c>
      <c r="T121">
        <v>-6</v>
      </c>
      <c r="U121">
        <v>-6</v>
      </c>
      <c r="V121">
        <v>-6</v>
      </c>
      <c r="W121">
        <v>-6</v>
      </c>
      <c r="X121">
        <v>-7</v>
      </c>
      <c r="Y121">
        <v>-7</v>
      </c>
      <c r="Z121">
        <v>-7</v>
      </c>
      <c r="AA121">
        <v>-7</v>
      </c>
      <c r="AB121">
        <v>-7</v>
      </c>
      <c r="AC121">
        <v>-7</v>
      </c>
      <c r="AD121">
        <v>-7</v>
      </c>
      <c r="AE121">
        <v>-7</v>
      </c>
      <c r="AF121">
        <v>-7</v>
      </c>
      <c r="AG121">
        <v>-7</v>
      </c>
    </row>
    <row r="122" spans="1:33">
      <c r="A122">
        <v>540</v>
      </c>
      <c r="B122" t="s">
        <v>114</v>
      </c>
      <c r="C122" s="534">
        <v>-7</v>
      </c>
      <c r="D122" s="534">
        <v>-7</v>
      </c>
      <c r="E122" s="534">
        <v>-7</v>
      </c>
      <c r="F122" s="534">
        <v>-7</v>
      </c>
      <c r="G122" s="534">
        <v>-7</v>
      </c>
      <c r="H122" s="534">
        <v>-7</v>
      </c>
      <c r="I122" s="534">
        <v>-7</v>
      </c>
      <c r="J122" s="534">
        <v>-7</v>
      </c>
      <c r="K122" s="534">
        <v>-7</v>
      </c>
      <c r="L122" s="534">
        <v>-7</v>
      </c>
      <c r="M122" s="534">
        <v>-7</v>
      </c>
      <c r="N122">
        <v>-3</v>
      </c>
      <c r="O122">
        <v>0</v>
      </c>
      <c r="P122">
        <v>-1</v>
      </c>
      <c r="Q122">
        <v>-1</v>
      </c>
      <c r="R122">
        <v>-2</v>
      </c>
      <c r="S122">
        <v>-2</v>
      </c>
      <c r="T122">
        <v>-3</v>
      </c>
      <c r="U122">
        <v>-3</v>
      </c>
      <c r="V122">
        <v>-3</v>
      </c>
      <c r="W122">
        <v>-3</v>
      </c>
      <c r="X122">
        <v>-3</v>
      </c>
      <c r="Y122">
        <v>-2</v>
      </c>
      <c r="Z122">
        <v>-2</v>
      </c>
      <c r="AA122">
        <v>-2</v>
      </c>
      <c r="AB122">
        <v>-2</v>
      </c>
      <c r="AC122">
        <v>-2</v>
      </c>
      <c r="AD122">
        <v>-2</v>
      </c>
      <c r="AE122">
        <v>-2</v>
      </c>
      <c r="AF122">
        <v>-2</v>
      </c>
      <c r="AG122">
        <v>-2</v>
      </c>
    </row>
    <row r="123" spans="1:33">
      <c r="A123">
        <v>541</v>
      </c>
      <c r="B123" t="s">
        <v>115</v>
      </c>
      <c r="C123" s="534">
        <v>-8</v>
      </c>
      <c r="D123" s="534">
        <v>-8</v>
      </c>
      <c r="E123" s="534">
        <v>-8</v>
      </c>
      <c r="F123" s="534">
        <v>-8</v>
      </c>
      <c r="G123" s="534">
        <v>-8</v>
      </c>
      <c r="H123" s="534">
        <v>-8</v>
      </c>
      <c r="I123" s="534">
        <v>-7</v>
      </c>
      <c r="J123" s="534">
        <v>-7</v>
      </c>
      <c r="K123" s="534">
        <v>-7</v>
      </c>
      <c r="L123" s="534">
        <v>-7</v>
      </c>
      <c r="M123" s="534">
        <v>-7</v>
      </c>
      <c r="N123">
        <v>-6</v>
      </c>
      <c r="O123">
        <v>-6</v>
      </c>
      <c r="P123">
        <v>-6</v>
      </c>
      <c r="Q123">
        <v>5</v>
      </c>
      <c r="R123">
        <v>5</v>
      </c>
      <c r="S123">
        <v>5</v>
      </c>
      <c r="T123">
        <v>5</v>
      </c>
      <c r="U123">
        <v>5</v>
      </c>
      <c r="V123">
        <v>5</v>
      </c>
      <c r="W123">
        <v>5</v>
      </c>
      <c r="X123">
        <v>5</v>
      </c>
      <c r="Y123">
        <v>5</v>
      </c>
      <c r="Z123">
        <v>5</v>
      </c>
      <c r="AA123">
        <v>5</v>
      </c>
      <c r="AB123">
        <v>5</v>
      </c>
      <c r="AC123">
        <v>5</v>
      </c>
      <c r="AD123">
        <v>5</v>
      </c>
      <c r="AE123">
        <v>5</v>
      </c>
      <c r="AF123">
        <v>5</v>
      </c>
      <c r="AG123">
        <v>5</v>
      </c>
    </row>
    <row r="124" spans="1:33">
      <c r="A124">
        <v>551</v>
      </c>
      <c r="B124" t="s">
        <v>116</v>
      </c>
      <c r="C124" s="534">
        <v>-9</v>
      </c>
      <c r="D124" s="534">
        <v>-9</v>
      </c>
      <c r="E124" s="534">
        <v>-9</v>
      </c>
      <c r="F124" s="534">
        <v>-9</v>
      </c>
      <c r="G124" s="534">
        <v>-9</v>
      </c>
      <c r="H124" s="534">
        <v>-9</v>
      </c>
      <c r="I124" s="534">
        <v>-9</v>
      </c>
      <c r="J124" s="534">
        <v>-9</v>
      </c>
      <c r="K124" s="534">
        <v>-9</v>
      </c>
      <c r="L124" s="534">
        <v>-9</v>
      </c>
      <c r="M124" s="534">
        <v>-9</v>
      </c>
      <c r="N124">
        <v>6</v>
      </c>
      <c r="O124">
        <v>6</v>
      </c>
      <c r="P124">
        <v>6</v>
      </c>
      <c r="Q124">
        <v>6</v>
      </c>
      <c r="R124">
        <v>6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5</v>
      </c>
      <c r="Y124">
        <v>5</v>
      </c>
      <c r="Z124">
        <v>5</v>
      </c>
      <c r="AA124">
        <v>5</v>
      </c>
      <c r="AB124">
        <v>5</v>
      </c>
      <c r="AC124">
        <v>5</v>
      </c>
      <c r="AD124">
        <v>5</v>
      </c>
      <c r="AE124">
        <v>7</v>
      </c>
      <c r="AF124">
        <v>7</v>
      </c>
      <c r="AG124">
        <v>7</v>
      </c>
    </row>
    <row r="125" spans="1:33">
      <c r="A125">
        <v>552</v>
      </c>
      <c r="B125" t="s">
        <v>117</v>
      </c>
      <c r="C125" s="534">
        <v>4</v>
      </c>
      <c r="D125" s="534">
        <v>4</v>
      </c>
      <c r="E125" s="534">
        <v>4</v>
      </c>
      <c r="F125" s="534">
        <v>1</v>
      </c>
      <c r="G125" s="534">
        <v>1</v>
      </c>
      <c r="H125" s="534">
        <v>1</v>
      </c>
      <c r="I125" s="534">
        <v>1</v>
      </c>
      <c r="J125" s="534">
        <v>-6</v>
      </c>
      <c r="K125" s="534">
        <v>-6</v>
      </c>
      <c r="L125" s="534">
        <v>-6</v>
      </c>
      <c r="M125" s="534">
        <v>-6</v>
      </c>
      <c r="N125">
        <v>-6</v>
      </c>
      <c r="O125">
        <v>-6</v>
      </c>
      <c r="P125">
        <v>-6</v>
      </c>
      <c r="Q125">
        <v>-6</v>
      </c>
      <c r="R125">
        <v>-6</v>
      </c>
      <c r="S125">
        <v>-6</v>
      </c>
      <c r="T125">
        <v>-6</v>
      </c>
      <c r="U125">
        <v>-6</v>
      </c>
      <c r="V125">
        <v>-3</v>
      </c>
      <c r="W125">
        <v>-3</v>
      </c>
      <c r="X125">
        <v>-4</v>
      </c>
      <c r="Y125">
        <v>-4</v>
      </c>
      <c r="Z125">
        <v>-4</v>
      </c>
      <c r="AA125">
        <v>-4</v>
      </c>
      <c r="AB125">
        <v>-4</v>
      </c>
      <c r="AC125">
        <v>-4</v>
      </c>
      <c r="AD125">
        <v>-4</v>
      </c>
      <c r="AE125">
        <v>-4</v>
      </c>
      <c r="AF125">
        <v>1</v>
      </c>
      <c r="AG125">
        <v>1</v>
      </c>
    </row>
    <row r="126" spans="1:33">
      <c r="A126">
        <v>553</v>
      </c>
      <c r="B126" t="s">
        <v>118</v>
      </c>
      <c r="C126" s="534">
        <v>-9</v>
      </c>
      <c r="D126" s="534">
        <v>-9</v>
      </c>
      <c r="E126" s="534">
        <v>-9</v>
      </c>
      <c r="F126" s="534">
        <v>-9</v>
      </c>
      <c r="G126" s="534">
        <v>-9</v>
      </c>
      <c r="H126" s="534">
        <v>-9</v>
      </c>
      <c r="I126" s="534">
        <v>-9</v>
      </c>
      <c r="J126" s="534">
        <v>-9</v>
      </c>
      <c r="K126" s="534">
        <v>-9</v>
      </c>
      <c r="L126" s="534">
        <v>-9</v>
      </c>
      <c r="M126" s="534">
        <v>-9</v>
      </c>
      <c r="N126">
        <v>-9</v>
      </c>
      <c r="O126">
        <v>-9</v>
      </c>
      <c r="P126">
        <v>-8</v>
      </c>
      <c r="Q126">
        <v>6</v>
      </c>
      <c r="R126">
        <v>6</v>
      </c>
      <c r="S126">
        <v>6</v>
      </c>
      <c r="T126">
        <v>6</v>
      </c>
      <c r="U126">
        <v>6</v>
      </c>
      <c r="V126">
        <v>6</v>
      </c>
      <c r="W126">
        <v>6</v>
      </c>
      <c r="X126">
        <v>4</v>
      </c>
      <c r="Y126">
        <v>4</v>
      </c>
      <c r="Z126">
        <v>5</v>
      </c>
      <c r="AA126">
        <v>6</v>
      </c>
      <c r="AB126">
        <v>6</v>
      </c>
      <c r="AC126">
        <v>6</v>
      </c>
      <c r="AD126">
        <v>6</v>
      </c>
      <c r="AE126">
        <v>6</v>
      </c>
      <c r="AF126">
        <v>6</v>
      </c>
      <c r="AG126">
        <v>6</v>
      </c>
    </row>
    <row r="127" spans="1:33">
      <c r="A127">
        <v>560</v>
      </c>
      <c r="B127" t="s">
        <v>119</v>
      </c>
      <c r="C127" s="534">
        <v>4</v>
      </c>
      <c r="D127" s="534">
        <v>4</v>
      </c>
      <c r="E127" s="534">
        <v>4</v>
      </c>
      <c r="F127" s="534">
        <v>4</v>
      </c>
      <c r="G127" s="534">
        <v>4</v>
      </c>
      <c r="H127" s="534">
        <v>4</v>
      </c>
      <c r="I127" s="534">
        <v>4</v>
      </c>
      <c r="J127" s="534">
        <v>4</v>
      </c>
      <c r="K127" s="534">
        <v>4</v>
      </c>
      <c r="L127" s="534">
        <v>4</v>
      </c>
      <c r="M127" s="534">
        <v>5</v>
      </c>
      <c r="N127">
        <v>5</v>
      </c>
      <c r="O127">
        <v>6</v>
      </c>
      <c r="P127">
        <v>8</v>
      </c>
      <c r="Q127">
        <v>9</v>
      </c>
      <c r="R127">
        <v>9</v>
      </c>
      <c r="S127">
        <v>9</v>
      </c>
      <c r="T127">
        <v>9</v>
      </c>
      <c r="U127">
        <v>9</v>
      </c>
      <c r="V127">
        <v>9</v>
      </c>
      <c r="W127">
        <v>9</v>
      </c>
      <c r="X127">
        <v>9</v>
      </c>
      <c r="Y127">
        <v>9</v>
      </c>
      <c r="Z127">
        <v>9</v>
      </c>
      <c r="AA127">
        <v>9</v>
      </c>
      <c r="AB127">
        <v>9</v>
      </c>
      <c r="AC127">
        <v>9</v>
      </c>
      <c r="AD127">
        <v>9</v>
      </c>
      <c r="AE127">
        <v>9</v>
      </c>
      <c r="AF127">
        <v>9</v>
      </c>
      <c r="AG127">
        <v>9</v>
      </c>
    </row>
    <row r="128" spans="1:33">
      <c r="A128">
        <v>565</v>
      </c>
      <c r="B128" t="s">
        <v>120</v>
      </c>
      <c r="M128" s="534">
        <v>1</v>
      </c>
      <c r="N128">
        <v>6</v>
      </c>
      <c r="O128">
        <v>6</v>
      </c>
      <c r="P128">
        <v>6</v>
      </c>
      <c r="Q128">
        <v>6</v>
      </c>
      <c r="R128">
        <v>6</v>
      </c>
      <c r="S128">
        <v>6</v>
      </c>
      <c r="T128">
        <v>6</v>
      </c>
      <c r="U128">
        <v>6</v>
      </c>
      <c r="V128">
        <v>6</v>
      </c>
      <c r="W128">
        <v>6</v>
      </c>
      <c r="X128">
        <v>6</v>
      </c>
      <c r="Y128">
        <v>6</v>
      </c>
      <c r="Z128">
        <v>6</v>
      </c>
      <c r="AA128">
        <v>6</v>
      </c>
      <c r="AB128">
        <v>6</v>
      </c>
      <c r="AC128">
        <v>6</v>
      </c>
      <c r="AD128">
        <v>6</v>
      </c>
      <c r="AE128">
        <v>6</v>
      </c>
      <c r="AF128">
        <v>6</v>
      </c>
      <c r="AG128">
        <v>6</v>
      </c>
    </row>
    <row r="129" spans="1:33">
      <c r="A129">
        <v>570</v>
      </c>
      <c r="B129" t="s">
        <v>121</v>
      </c>
      <c r="C129" s="534">
        <v>-7</v>
      </c>
      <c r="D129" s="534">
        <v>-7</v>
      </c>
      <c r="E129" s="534">
        <v>-7</v>
      </c>
      <c r="F129" s="534">
        <v>-7</v>
      </c>
      <c r="G129" s="534">
        <v>-7</v>
      </c>
      <c r="H129" s="534">
        <v>-7</v>
      </c>
      <c r="I129" s="534">
        <v>-7</v>
      </c>
      <c r="J129" s="534">
        <v>-7</v>
      </c>
      <c r="K129" s="534">
        <v>-7</v>
      </c>
      <c r="L129" s="534">
        <v>-7</v>
      </c>
      <c r="M129" s="534">
        <v>-7</v>
      </c>
      <c r="N129">
        <v>-7</v>
      </c>
      <c r="O129">
        <v>-7</v>
      </c>
      <c r="P129">
        <v>8</v>
      </c>
      <c r="Q129">
        <v>8</v>
      </c>
      <c r="R129">
        <v>8</v>
      </c>
      <c r="S129">
        <v>8</v>
      </c>
      <c r="T129">
        <v>8</v>
      </c>
      <c r="U129">
        <v>0</v>
      </c>
      <c r="V129">
        <v>2</v>
      </c>
      <c r="W129">
        <v>4</v>
      </c>
      <c r="X129">
        <v>6</v>
      </c>
      <c r="Y129">
        <v>8</v>
      </c>
      <c r="Z129">
        <v>8</v>
      </c>
      <c r="AA129">
        <v>8</v>
      </c>
      <c r="AB129">
        <v>8</v>
      </c>
      <c r="AC129">
        <v>8</v>
      </c>
      <c r="AD129">
        <v>8</v>
      </c>
      <c r="AE129">
        <v>8</v>
      </c>
      <c r="AF129">
        <v>8</v>
      </c>
      <c r="AG129">
        <v>8</v>
      </c>
    </row>
    <row r="130" spans="1:33">
      <c r="A130">
        <v>571</v>
      </c>
      <c r="B130" t="s">
        <v>122</v>
      </c>
      <c r="C130" s="534">
        <v>6</v>
      </c>
      <c r="D130" s="534">
        <v>6</v>
      </c>
      <c r="E130" s="534">
        <v>6</v>
      </c>
      <c r="F130" s="534">
        <v>6</v>
      </c>
      <c r="G130" s="534">
        <v>6</v>
      </c>
      <c r="H130" s="534">
        <v>6</v>
      </c>
      <c r="I130" s="534">
        <v>6</v>
      </c>
      <c r="J130" s="534">
        <v>7</v>
      </c>
      <c r="K130" s="534">
        <v>7</v>
      </c>
      <c r="L130" s="534">
        <v>7</v>
      </c>
      <c r="M130" s="534">
        <v>7</v>
      </c>
      <c r="N130">
        <v>7</v>
      </c>
      <c r="O130">
        <v>7</v>
      </c>
      <c r="P130">
        <v>7</v>
      </c>
      <c r="Q130">
        <v>7</v>
      </c>
      <c r="R130">
        <v>7</v>
      </c>
      <c r="S130">
        <v>7</v>
      </c>
      <c r="T130">
        <v>8</v>
      </c>
      <c r="U130">
        <v>8</v>
      </c>
      <c r="V130">
        <v>8</v>
      </c>
      <c r="W130">
        <v>8</v>
      </c>
      <c r="X130">
        <v>8</v>
      </c>
      <c r="Y130">
        <v>8</v>
      </c>
      <c r="Z130">
        <v>8</v>
      </c>
      <c r="AA130">
        <v>8</v>
      </c>
      <c r="AB130">
        <v>8</v>
      </c>
      <c r="AC130">
        <v>8</v>
      </c>
      <c r="AD130">
        <v>8</v>
      </c>
      <c r="AE130">
        <v>8</v>
      </c>
      <c r="AF130">
        <v>8</v>
      </c>
      <c r="AG130">
        <v>8</v>
      </c>
    </row>
    <row r="131" spans="1:33">
      <c r="A131">
        <v>572</v>
      </c>
      <c r="B131" t="s">
        <v>123</v>
      </c>
      <c r="C131" s="534">
        <v>-10</v>
      </c>
      <c r="D131" s="534">
        <v>-6</v>
      </c>
      <c r="E131" s="534">
        <v>-6</v>
      </c>
      <c r="F131" s="534">
        <v>-6</v>
      </c>
      <c r="G131" s="534">
        <v>-6</v>
      </c>
      <c r="H131" s="534">
        <v>-6</v>
      </c>
      <c r="I131" s="534">
        <v>-6</v>
      </c>
      <c r="J131" s="534">
        <v>-6</v>
      </c>
      <c r="K131" s="534">
        <v>-6</v>
      </c>
      <c r="L131" s="534">
        <v>-6</v>
      </c>
      <c r="M131" s="534">
        <v>-6</v>
      </c>
      <c r="N131">
        <v>-10</v>
      </c>
      <c r="O131">
        <v>-10</v>
      </c>
      <c r="P131">
        <v>-9</v>
      </c>
      <c r="Q131">
        <v>-9</v>
      </c>
      <c r="R131">
        <v>-9</v>
      </c>
      <c r="S131">
        <v>-9</v>
      </c>
      <c r="T131">
        <v>-9</v>
      </c>
      <c r="U131">
        <v>-9</v>
      </c>
      <c r="V131">
        <v>-9</v>
      </c>
      <c r="W131">
        <v>-9</v>
      </c>
      <c r="X131">
        <v>-9</v>
      </c>
      <c r="Y131">
        <v>-9</v>
      </c>
      <c r="Z131">
        <v>-9</v>
      </c>
      <c r="AA131">
        <v>-9</v>
      </c>
      <c r="AB131">
        <v>-9</v>
      </c>
      <c r="AC131">
        <v>-9</v>
      </c>
      <c r="AD131">
        <v>-9</v>
      </c>
      <c r="AE131">
        <v>-9</v>
      </c>
      <c r="AF131">
        <v>-9</v>
      </c>
      <c r="AG131">
        <v>-9</v>
      </c>
    </row>
    <row r="132" spans="1:33">
      <c r="A132">
        <v>580</v>
      </c>
      <c r="B132" t="s">
        <v>124</v>
      </c>
      <c r="C132" s="534">
        <v>-6</v>
      </c>
      <c r="D132" s="534">
        <v>-6</v>
      </c>
      <c r="E132" s="534">
        <v>-6</v>
      </c>
      <c r="F132" s="534">
        <v>-6</v>
      </c>
      <c r="G132" s="534">
        <v>-6</v>
      </c>
      <c r="H132" s="534">
        <v>-6</v>
      </c>
      <c r="I132" s="534">
        <v>-6</v>
      </c>
      <c r="J132" s="534">
        <v>-6</v>
      </c>
      <c r="K132" s="534">
        <v>-6</v>
      </c>
      <c r="L132" s="534">
        <v>-6</v>
      </c>
      <c r="M132" s="534">
        <v>-6</v>
      </c>
      <c r="N132" s="128">
        <v>2</v>
      </c>
      <c r="O132" s="128">
        <v>9</v>
      </c>
      <c r="P132" s="128">
        <v>9</v>
      </c>
      <c r="Q132" s="128">
        <v>9</v>
      </c>
      <c r="R132" s="128">
        <v>9</v>
      </c>
      <c r="S132" s="128">
        <v>9</v>
      </c>
      <c r="T132" s="128">
        <v>8</v>
      </c>
      <c r="U132" s="128">
        <v>7</v>
      </c>
      <c r="V132" s="128">
        <v>7</v>
      </c>
      <c r="W132" s="128">
        <v>7</v>
      </c>
      <c r="X132" s="128">
        <v>7</v>
      </c>
      <c r="Y132" s="128">
        <v>7</v>
      </c>
      <c r="Z132" s="128">
        <v>7</v>
      </c>
      <c r="AA132" s="128">
        <v>7</v>
      </c>
      <c r="AB132" s="128">
        <v>7</v>
      </c>
      <c r="AC132" s="128">
        <v>7</v>
      </c>
      <c r="AD132" s="128">
        <v>7</v>
      </c>
      <c r="AE132" s="128">
        <v>7</v>
      </c>
      <c r="AF132" s="128">
        <v>0</v>
      </c>
      <c r="AG132" s="128">
        <v>0</v>
      </c>
    </row>
    <row r="133" spans="1:33">
      <c r="A133">
        <v>581</v>
      </c>
      <c r="B133" t="s">
        <v>125</v>
      </c>
      <c r="C133" s="534">
        <v>-5</v>
      </c>
      <c r="D133" s="534">
        <v>-5</v>
      </c>
      <c r="E133" s="534">
        <v>-6</v>
      </c>
      <c r="F133" s="534">
        <v>-6</v>
      </c>
      <c r="G133" s="534">
        <v>-6</v>
      </c>
      <c r="H133" s="534">
        <v>-7</v>
      </c>
      <c r="I133" s="534">
        <v>-7</v>
      </c>
      <c r="J133" s="534">
        <v>-7</v>
      </c>
      <c r="K133" s="534">
        <v>-7</v>
      </c>
      <c r="L133" s="534">
        <v>-7</v>
      </c>
      <c r="M133" s="534">
        <v>4</v>
      </c>
      <c r="N133" s="129">
        <v>4</v>
      </c>
      <c r="O133" s="129">
        <v>4</v>
      </c>
      <c r="P133" s="129">
        <v>4</v>
      </c>
      <c r="Q133" s="129">
        <v>4</v>
      </c>
      <c r="R133" s="129">
        <v>0</v>
      </c>
      <c r="S133" s="129">
        <v>4</v>
      </c>
      <c r="T133" s="129">
        <v>4</v>
      </c>
      <c r="U133" s="129">
        <v>4</v>
      </c>
      <c r="V133" s="129">
        <v>-2</v>
      </c>
      <c r="W133" s="129">
        <v>-1</v>
      </c>
      <c r="X133" s="129">
        <v>0</v>
      </c>
      <c r="Y133" s="129">
        <v>4</v>
      </c>
      <c r="Z133" s="129">
        <v>4</v>
      </c>
      <c r="AA133" s="129">
        <v>6</v>
      </c>
      <c r="AB133" s="129">
        <v>6</v>
      </c>
      <c r="AC133" s="129">
        <v>9</v>
      </c>
      <c r="AD133" s="129">
        <v>9</v>
      </c>
      <c r="AE133" s="129">
        <v>9</v>
      </c>
      <c r="AF133" s="129">
        <v>9</v>
      </c>
      <c r="AG133" s="129">
        <v>9</v>
      </c>
    </row>
    <row r="134" spans="1:33">
      <c r="A134">
        <v>590</v>
      </c>
      <c r="B134" t="s">
        <v>126</v>
      </c>
      <c r="C134" s="534">
        <v>9</v>
      </c>
      <c r="D134" s="534">
        <v>9</v>
      </c>
      <c r="E134" s="534">
        <v>10</v>
      </c>
      <c r="F134" s="534">
        <v>10</v>
      </c>
      <c r="G134" s="534">
        <v>10</v>
      </c>
      <c r="H134" s="534">
        <v>10</v>
      </c>
      <c r="I134" s="534">
        <v>10</v>
      </c>
      <c r="J134" s="534">
        <v>10</v>
      </c>
      <c r="K134" s="534">
        <v>10</v>
      </c>
      <c r="L134" s="534">
        <v>10</v>
      </c>
      <c r="M134" s="534">
        <v>10</v>
      </c>
      <c r="N134">
        <v>10</v>
      </c>
      <c r="O134">
        <v>10</v>
      </c>
      <c r="P134">
        <v>10</v>
      </c>
      <c r="Q134">
        <v>10</v>
      </c>
      <c r="R134">
        <v>10</v>
      </c>
      <c r="S134">
        <v>10</v>
      </c>
      <c r="T134">
        <v>10</v>
      </c>
      <c r="U134">
        <v>10</v>
      </c>
      <c r="V134">
        <v>10</v>
      </c>
      <c r="W134">
        <v>10</v>
      </c>
      <c r="X134">
        <v>10</v>
      </c>
      <c r="Y134">
        <v>10</v>
      </c>
      <c r="Z134">
        <v>10</v>
      </c>
      <c r="AA134">
        <v>10</v>
      </c>
      <c r="AB134">
        <v>10</v>
      </c>
      <c r="AC134">
        <v>10</v>
      </c>
      <c r="AD134">
        <v>10</v>
      </c>
      <c r="AE134">
        <v>10</v>
      </c>
      <c r="AF134">
        <v>10</v>
      </c>
      <c r="AG134">
        <v>10</v>
      </c>
    </row>
    <row r="135" spans="1:33">
      <c r="A135">
        <v>591</v>
      </c>
      <c r="B135" t="s">
        <v>127</v>
      </c>
    </row>
    <row r="136" spans="1:33">
      <c r="A136">
        <v>600</v>
      </c>
      <c r="B136" t="s">
        <v>128</v>
      </c>
      <c r="C136" s="534">
        <v>-8</v>
      </c>
      <c r="D136" s="534">
        <v>-8</v>
      </c>
      <c r="E136" s="534">
        <v>-8</v>
      </c>
      <c r="F136" s="534">
        <v>-8</v>
      </c>
      <c r="G136" s="534">
        <v>-8</v>
      </c>
      <c r="H136" s="534">
        <v>-8</v>
      </c>
      <c r="I136" s="534">
        <v>-8</v>
      </c>
      <c r="J136" s="534">
        <v>-8</v>
      </c>
      <c r="K136" s="534">
        <v>-8</v>
      </c>
      <c r="L136" s="534">
        <v>-8</v>
      </c>
      <c r="M136" s="534">
        <v>-8</v>
      </c>
      <c r="N136">
        <v>-8</v>
      </c>
      <c r="O136">
        <v>-7</v>
      </c>
      <c r="P136">
        <v>-7</v>
      </c>
      <c r="Q136">
        <v>-7</v>
      </c>
      <c r="R136">
        <v>-7</v>
      </c>
      <c r="S136">
        <v>-7</v>
      </c>
      <c r="T136">
        <v>-7</v>
      </c>
      <c r="U136">
        <v>-6</v>
      </c>
      <c r="V136">
        <v>-6</v>
      </c>
      <c r="W136">
        <v>-6</v>
      </c>
      <c r="X136">
        <v>-6</v>
      </c>
      <c r="Y136">
        <v>-6</v>
      </c>
      <c r="Z136">
        <v>-6</v>
      </c>
      <c r="AA136">
        <v>-6</v>
      </c>
      <c r="AB136">
        <v>-6</v>
      </c>
      <c r="AC136">
        <v>-6</v>
      </c>
      <c r="AD136">
        <v>-6</v>
      </c>
      <c r="AE136">
        <v>-6</v>
      </c>
      <c r="AF136">
        <v>-6</v>
      </c>
      <c r="AG136">
        <v>-6</v>
      </c>
    </row>
    <row r="137" spans="1:33">
      <c r="A137">
        <v>615</v>
      </c>
      <c r="B137" t="s">
        <v>129</v>
      </c>
      <c r="C137" s="534">
        <v>-9</v>
      </c>
      <c r="D137" s="534">
        <v>-9</v>
      </c>
      <c r="E137" s="534">
        <v>-9</v>
      </c>
      <c r="F137" s="534">
        <v>-9</v>
      </c>
      <c r="G137" s="534">
        <v>-9</v>
      </c>
      <c r="H137" s="534">
        <v>-9</v>
      </c>
      <c r="I137" s="534">
        <v>-9</v>
      </c>
      <c r="J137" s="534">
        <v>-9</v>
      </c>
      <c r="K137" s="534">
        <v>-9</v>
      </c>
      <c r="L137" s="534">
        <v>-2</v>
      </c>
      <c r="M137" s="534">
        <v>-2</v>
      </c>
      <c r="N137">
        <v>-2</v>
      </c>
      <c r="O137">
        <v>-7</v>
      </c>
      <c r="P137">
        <v>-7</v>
      </c>
      <c r="Q137">
        <v>-7</v>
      </c>
      <c r="R137">
        <v>-3</v>
      </c>
      <c r="S137">
        <v>-3</v>
      </c>
      <c r="T137">
        <v>-3</v>
      </c>
      <c r="U137">
        <v>-3</v>
      </c>
      <c r="V137">
        <v>-3</v>
      </c>
      <c r="W137">
        <v>-3</v>
      </c>
      <c r="X137">
        <v>-3</v>
      </c>
      <c r="Y137">
        <v>-3</v>
      </c>
      <c r="Z137">
        <v>-3</v>
      </c>
      <c r="AA137">
        <v>2</v>
      </c>
      <c r="AB137">
        <v>2</v>
      </c>
      <c r="AC137">
        <v>2</v>
      </c>
      <c r="AD137">
        <v>2</v>
      </c>
      <c r="AE137">
        <v>2</v>
      </c>
      <c r="AF137">
        <v>2</v>
      </c>
      <c r="AG137">
        <v>2</v>
      </c>
    </row>
    <row r="138" spans="1:33">
      <c r="A138">
        <v>616</v>
      </c>
      <c r="B138" t="s">
        <v>130</v>
      </c>
      <c r="C138" s="534">
        <v>-9</v>
      </c>
      <c r="D138" s="534">
        <v>-8</v>
      </c>
      <c r="E138" s="534">
        <v>-8</v>
      </c>
      <c r="F138" s="534">
        <v>-8</v>
      </c>
      <c r="G138" s="534">
        <v>-8</v>
      </c>
      <c r="H138" s="534">
        <v>-8</v>
      </c>
      <c r="I138" s="534">
        <v>-8</v>
      </c>
      <c r="J138" s="534">
        <v>-5</v>
      </c>
      <c r="K138" s="534">
        <v>-5</v>
      </c>
      <c r="L138" s="534">
        <v>-5</v>
      </c>
      <c r="M138" s="534">
        <v>-5</v>
      </c>
      <c r="N138">
        <v>-5</v>
      </c>
      <c r="O138">
        <v>-5</v>
      </c>
      <c r="P138">
        <v>-3</v>
      </c>
      <c r="Q138">
        <v>-3</v>
      </c>
      <c r="R138">
        <v>-3</v>
      </c>
      <c r="S138">
        <v>-3</v>
      </c>
      <c r="T138">
        <v>-3</v>
      </c>
      <c r="U138">
        <v>-3</v>
      </c>
      <c r="V138">
        <v>-3</v>
      </c>
      <c r="W138">
        <v>-3</v>
      </c>
      <c r="X138">
        <v>-3</v>
      </c>
      <c r="Y138">
        <v>-4</v>
      </c>
      <c r="Z138">
        <v>-4</v>
      </c>
      <c r="AA138">
        <v>-4</v>
      </c>
      <c r="AB138">
        <v>-4</v>
      </c>
      <c r="AC138">
        <v>-4</v>
      </c>
      <c r="AD138">
        <v>-4</v>
      </c>
      <c r="AE138">
        <v>-4</v>
      </c>
      <c r="AF138">
        <v>-4</v>
      </c>
      <c r="AG138">
        <v>-4</v>
      </c>
    </row>
    <row r="139" spans="1:33">
      <c r="A139">
        <v>620</v>
      </c>
      <c r="B139" t="s">
        <v>131</v>
      </c>
      <c r="C139" s="534">
        <v>-7</v>
      </c>
      <c r="D139" s="534">
        <v>-7</v>
      </c>
      <c r="E139" s="534">
        <v>-7</v>
      </c>
      <c r="F139" s="534">
        <v>-7</v>
      </c>
      <c r="G139" s="534">
        <v>-7</v>
      </c>
      <c r="H139" s="534">
        <v>-7</v>
      </c>
      <c r="I139" s="534">
        <v>-7</v>
      </c>
      <c r="J139" s="534">
        <v>-7</v>
      </c>
      <c r="K139" s="534">
        <v>-7</v>
      </c>
      <c r="L139" s="534">
        <v>-7</v>
      </c>
      <c r="M139" s="534">
        <v>-7</v>
      </c>
      <c r="N139" s="130">
        <v>-7</v>
      </c>
      <c r="O139" s="130">
        <v>-7</v>
      </c>
      <c r="P139" s="130">
        <v>-7</v>
      </c>
      <c r="Q139" s="130">
        <v>-7</v>
      </c>
      <c r="R139" s="130">
        <v>-7</v>
      </c>
      <c r="S139" s="130">
        <v>-7</v>
      </c>
      <c r="T139" s="130">
        <v>-7</v>
      </c>
      <c r="U139" s="130">
        <v>-7</v>
      </c>
      <c r="V139" s="130">
        <v>-7</v>
      </c>
      <c r="W139" s="130">
        <v>-7</v>
      </c>
      <c r="X139" s="130">
        <v>-7</v>
      </c>
      <c r="Y139" s="130">
        <v>-7</v>
      </c>
      <c r="Z139" s="130">
        <v>-7</v>
      </c>
      <c r="AA139" s="130">
        <v>-7</v>
      </c>
      <c r="AB139" s="130">
        <v>-7</v>
      </c>
      <c r="AC139" s="130">
        <v>-7</v>
      </c>
      <c r="AD139" s="130">
        <v>-7</v>
      </c>
      <c r="AE139" s="130">
        <v>-7</v>
      </c>
      <c r="AF139" s="130">
        <v>-7</v>
      </c>
      <c r="AG139" s="130">
        <v>-7</v>
      </c>
    </row>
    <row r="140" spans="1:33">
      <c r="A140">
        <v>625</v>
      </c>
      <c r="B140" t="s">
        <v>132</v>
      </c>
      <c r="C140" s="534">
        <v>-7</v>
      </c>
      <c r="D140" s="534">
        <v>-7</v>
      </c>
      <c r="E140" s="534">
        <v>-7</v>
      </c>
      <c r="F140" s="534">
        <v>-7</v>
      </c>
      <c r="G140" s="534">
        <v>-7</v>
      </c>
      <c r="H140" s="534">
        <v>0</v>
      </c>
      <c r="I140" s="534">
        <v>7</v>
      </c>
      <c r="J140" s="534">
        <v>7</v>
      </c>
      <c r="K140" s="534">
        <v>7</v>
      </c>
      <c r="L140" s="534">
        <v>-7</v>
      </c>
      <c r="M140" s="534">
        <v>-7</v>
      </c>
      <c r="N140" s="131">
        <v>-7</v>
      </c>
      <c r="O140" s="131">
        <v>-7</v>
      </c>
      <c r="P140" s="131">
        <v>-7</v>
      </c>
      <c r="Q140" s="131">
        <v>-7</v>
      </c>
      <c r="R140" s="131">
        <v>-7</v>
      </c>
      <c r="S140" s="131">
        <v>-7</v>
      </c>
      <c r="T140" s="131">
        <v>-7</v>
      </c>
      <c r="U140" s="131">
        <v>-7</v>
      </c>
      <c r="V140" s="131">
        <v>-7</v>
      </c>
      <c r="W140" s="131">
        <v>-7</v>
      </c>
      <c r="X140" s="131">
        <v>-7</v>
      </c>
      <c r="Y140" s="131">
        <v>-6</v>
      </c>
      <c r="Z140" s="131">
        <v>-6</v>
      </c>
      <c r="AA140" s="131">
        <v>-6</v>
      </c>
      <c r="AB140" s="131">
        <v>-4</v>
      </c>
      <c r="AC140" s="131">
        <v>-4</v>
      </c>
      <c r="AD140" s="131">
        <v>-4</v>
      </c>
      <c r="AE140" s="131">
        <v>-4</v>
      </c>
      <c r="AF140" s="131">
        <v>-4</v>
      </c>
      <c r="AG140" s="131">
        <v>-2</v>
      </c>
    </row>
    <row r="141" spans="1:33">
      <c r="A141">
        <v>630</v>
      </c>
      <c r="B141" t="s">
        <v>133</v>
      </c>
      <c r="C141" s="534">
        <v>-2</v>
      </c>
      <c r="D141" s="534">
        <v>-4</v>
      </c>
      <c r="E141" s="534">
        <v>-6</v>
      </c>
      <c r="F141" s="534">
        <v>-6</v>
      </c>
      <c r="G141" s="534">
        <v>-6</v>
      </c>
      <c r="H141" s="534">
        <v>-6</v>
      </c>
      <c r="I141" s="534">
        <v>-6</v>
      </c>
      <c r="J141" s="534">
        <v>-6</v>
      </c>
      <c r="K141" s="534">
        <v>-6</v>
      </c>
      <c r="L141" s="534">
        <v>-6</v>
      </c>
      <c r="M141" s="534">
        <v>-6</v>
      </c>
      <c r="N141" s="132">
        <v>-6</v>
      </c>
      <c r="O141" s="132">
        <v>-6</v>
      </c>
      <c r="P141" s="132">
        <v>-6</v>
      </c>
      <c r="Q141" s="132">
        <v>-6</v>
      </c>
      <c r="R141" s="132">
        <v>-6</v>
      </c>
      <c r="S141" s="132">
        <v>-6</v>
      </c>
      <c r="T141" s="132">
        <v>3</v>
      </c>
      <c r="U141" s="132">
        <v>3</v>
      </c>
      <c r="V141" s="132">
        <v>3</v>
      </c>
      <c r="W141" s="132">
        <v>3</v>
      </c>
      <c r="X141" s="132">
        <v>3</v>
      </c>
      <c r="Y141" s="132">
        <v>3</v>
      </c>
      <c r="Z141" s="132">
        <v>3</v>
      </c>
      <c r="AA141" s="132">
        <v>-6</v>
      </c>
      <c r="AB141" s="132">
        <v>-6</v>
      </c>
      <c r="AC141" s="132">
        <v>-6</v>
      </c>
      <c r="AD141" s="132">
        <v>-6</v>
      </c>
      <c r="AE141" s="132">
        <v>-6</v>
      </c>
      <c r="AF141" s="132">
        <v>-7</v>
      </c>
      <c r="AG141" s="132">
        <v>-7</v>
      </c>
    </row>
    <row r="142" spans="1:33">
      <c r="A142">
        <v>640</v>
      </c>
      <c r="B142" t="s">
        <v>134</v>
      </c>
      <c r="C142" s="534">
        <v>-5</v>
      </c>
      <c r="D142" s="534">
        <v>-5</v>
      </c>
      <c r="E142" s="534">
        <v>-5</v>
      </c>
      <c r="F142" s="534">
        <v>7</v>
      </c>
      <c r="G142" s="534">
        <v>7</v>
      </c>
      <c r="H142" s="534">
        <v>7</v>
      </c>
      <c r="I142" s="534">
        <v>7</v>
      </c>
      <c r="J142" s="534">
        <v>7</v>
      </c>
      <c r="K142" s="534">
        <v>7</v>
      </c>
      <c r="L142" s="534">
        <v>9</v>
      </c>
      <c r="M142" s="534">
        <v>9</v>
      </c>
      <c r="N142" s="133">
        <v>9</v>
      </c>
      <c r="O142" s="133">
        <v>9</v>
      </c>
      <c r="P142" s="133">
        <v>8</v>
      </c>
      <c r="Q142" s="133">
        <v>8</v>
      </c>
      <c r="R142" s="133">
        <v>8</v>
      </c>
      <c r="S142" s="133">
        <v>8</v>
      </c>
      <c r="T142" s="133">
        <v>7</v>
      </c>
      <c r="U142" s="133">
        <v>7</v>
      </c>
      <c r="V142" s="133">
        <v>7</v>
      </c>
      <c r="W142" s="133">
        <v>7</v>
      </c>
      <c r="X142" s="133">
        <v>7</v>
      </c>
      <c r="Y142" s="133">
        <v>7</v>
      </c>
      <c r="Z142" s="133">
        <v>7</v>
      </c>
      <c r="AA142" s="133">
        <v>7</v>
      </c>
      <c r="AB142" s="133">
        <v>7</v>
      </c>
      <c r="AC142" s="133">
        <v>7</v>
      </c>
      <c r="AD142" s="133">
        <v>7</v>
      </c>
      <c r="AE142" s="133">
        <v>7</v>
      </c>
      <c r="AF142" s="133">
        <v>7</v>
      </c>
      <c r="AG142" s="133">
        <v>7</v>
      </c>
    </row>
    <row r="143" spans="1:33">
      <c r="A143">
        <v>645</v>
      </c>
      <c r="B143" t="s">
        <v>135</v>
      </c>
      <c r="C143" s="534">
        <v>-9</v>
      </c>
      <c r="D143" s="534">
        <v>-9</v>
      </c>
      <c r="E143" s="534">
        <v>-9</v>
      </c>
      <c r="F143" s="534">
        <v>-9</v>
      </c>
      <c r="G143" s="534">
        <v>-9</v>
      </c>
      <c r="H143" s="534">
        <v>-9</v>
      </c>
      <c r="I143" s="534">
        <v>-9</v>
      </c>
      <c r="J143" s="534">
        <v>-9</v>
      </c>
      <c r="K143" s="534">
        <v>-9</v>
      </c>
      <c r="L143" s="534">
        <v>-9</v>
      </c>
      <c r="M143" s="534">
        <v>-9</v>
      </c>
      <c r="N143" s="134">
        <v>-9</v>
      </c>
      <c r="O143" s="134">
        <v>-9</v>
      </c>
      <c r="P143" s="134">
        <v>-9</v>
      </c>
      <c r="Q143" s="134">
        <v>-9</v>
      </c>
      <c r="R143" s="134">
        <v>-9</v>
      </c>
      <c r="S143" s="134">
        <v>-9</v>
      </c>
      <c r="T143" s="134">
        <v>-9</v>
      </c>
      <c r="U143" s="134">
        <v>-9</v>
      </c>
      <c r="V143" s="134">
        <v>-9</v>
      </c>
      <c r="W143" s="134">
        <v>-9</v>
      </c>
      <c r="X143" s="134">
        <v>-9</v>
      </c>
      <c r="Y143" s="134">
        <v>-9</v>
      </c>
      <c r="Z143" s="134"/>
      <c r="AA143" s="134"/>
      <c r="AB143" s="134"/>
      <c r="AC143" s="134"/>
      <c r="AD143" s="134"/>
      <c r="AE143" s="134"/>
      <c r="AF143" s="134"/>
      <c r="AG143" s="134">
        <v>3</v>
      </c>
    </row>
    <row r="144" spans="1:33">
      <c r="A144">
        <v>651</v>
      </c>
      <c r="B144" t="s">
        <v>136</v>
      </c>
      <c r="C144" s="534">
        <v>-6</v>
      </c>
      <c r="D144" s="534">
        <v>-6</v>
      </c>
      <c r="E144" s="534">
        <v>-6</v>
      </c>
      <c r="F144" s="534">
        <v>-6</v>
      </c>
      <c r="G144" s="534">
        <v>-6</v>
      </c>
      <c r="H144" s="534">
        <v>-6</v>
      </c>
      <c r="I144" s="534">
        <v>-6</v>
      </c>
      <c r="J144" s="534">
        <v>-6</v>
      </c>
      <c r="K144" s="534">
        <v>-6</v>
      </c>
      <c r="L144" s="534">
        <v>-6</v>
      </c>
      <c r="M144" s="534">
        <v>-6</v>
      </c>
      <c r="N144" s="135">
        <v>-6</v>
      </c>
      <c r="O144" s="135">
        <v>-6</v>
      </c>
      <c r="P144" s="135">
        <v>-6</v>
      </c>
      <c r="Q144" s="135">
        <v>-6</v>
      </c>
      <c r="R144" s="135">
        <v>-6</v>
      </c>
      <c r="S144" s="135">
        <v>-6</v>
      </c>
      <c r="T144" s="135">
        <v>-6</v>
      </c>
      <c r="U144" s="135">
        <v>-6</v>
      </c>
      <c r="V144" s="135">
        <v>-6</v>
      </c>
      <c r="W144" s="135">
        <v>-6</v>
      </c>
      <c r="X144" s="135">
        <v>-6</v>
      </c>
      <c r="Y144" s="135">
        <v>-6</v>
      </c>
      <c r="Z144" s="135">
        <v>-6</v>
      </c>
      <c r="AA144" s="135">
        <v>-6</v>
      </c>
      <c r="AB144" s="135">
        <v>-3</v>
      </c>
      <c r="AC144" s="135">
        <v>-3</v>
      </c>
      <c r="AD144" s="135">
        <v>-3</v>
      </c>
      <c r="AE144" s="135">
        <v>-3</v>
      </c>
      <c r="AF144" s="135">
        <v>-3</v>
      </c>
      <c r="AG144" s="135">
        <v>-3</v>
      </c>
    </row>
    <row r="145" spans="1:33">
      <c r="A145">
        <v>652</v>
      </c>
      <c r="B145" t="s">
        <v>137</v>
      </c>
      <c r="C145" s="534">
        <v>-9</v>
      </c>
      <c r="D145" s="534">
        <v>-9</v>
      </c>
      <c r="E145" s="534">
        <v>-9</v>
      </c>
      <c r="F145" s="534">
        <v>-9</v>
      </c>
      <c r="G145" s="534">
        <v>-9</v>
      </c>
      <c r="H145" s="534">
        <v>-9</v>
      </c>
      <c r="I145" s="534">
        <v>-9</v>
      </c>
      <c r="J145" s="534">
        <v>-9</v>
      </c>
      <c r="K145" s="534">
        <v>-9</v>
      </c>
      <c r="L145" s="534">
        <v>-9</v>
      </c>
      <c r="M145" s="534">
        <v>-9</v>
      </c>
      <c r="N145">
        <v>-9</v>
      </c>
      <c r="O145">
        <v>-9</v>
      </c>
      <c r="P145">
        <v>-9</v>
      </c>
      <c r="Q145">
        <v>-9</v>
      </c>
      <c r="R145">
        <v>-9</v>
      </c>
      <c r="S145">
        <v>-9</v>
      </c>
      <c r="T145">
        <v>-9</v>
      </c>
      <c r="U145">
        <v>-9</v>
      </c>
      <c r="V145">
        <v>-9</v>
      </c>
      <c r="W145">
        <v>-7</v>
      </c>
      <c r="X145">
        <v>-7</v>
      </c>
      <c r="Y145">
        <v>-7</v>
      </c>
      <c r="Z145">
        <v>-7</v>
      </c>
      <c r="AA145">
        <v>-7</v>
      </c>
      <c r="AB145">
        <v>-7</v>
      </c>
      <c r="AC145">
        <v>-7</v>
      </c>
      <c r="AD145">
        <v>-7</v>
      </c>
      <c r="AE145">
        <v>-7</v>
      </c>
      <c r="AF145">
        <v>-7</v>
      </c>
      <c r="AG145">
        <v>-7</v>
      </c>
    </row>
    <row r="146" spans="1:33">
      <c r="A146">
        <v>660</v>
      </c>
      <c r="B146" t="s">
        <v>138</v>
      </c>
      <c r="C146" s="534">
        <v>0</v>
      </c>
      <c r="D146" s="534">
        <v>0</v>
      </c>
      <c r="E146" s="534">
        <v>0</v>
      </c>
      <c r="F146" s="534">
        <v>0</v>
      </c>
      <c r="G146" s="534">
        <v>0</v>
      </c>
      <c r="H146" s="534">
        <v>0</v>
      </c>
      <c r="I146" s="534">
        <v>0</v>
      </c>
      <c r="J146" s="534">
        <v>0</v>
      </c>
      <c r="K146" s="534">
        <v>0</v>
      </c>
      <c r="L146" s="534">
        <v>0</v>
      </c>
      <c r="M146" s="534">
        <v>0</v>
      </c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>
        <v>7</v>
      </c>
      <c r="AC146" s="136">
        <v>7</v>
      </c>
      <c r="AD146" s="136">
        <v>7</v>
      </c>
      <c r="AE146" s="136">
        <v>7</v>
      </c>
      <c r="AF146" s="136">
        <v>7</v>
      </c>
      <c r="AG146" s="136">
        <v>7</v>
      </c>
    </row>
    <row r="147" spans="1:33">
      <c r="A147">
        <v>663</v>
      </c>
      <c r="B147" t="s">
        <v>139</v>
      </c>
      <c r="C147" s="534">
        <v>-10</v>
      </c>
      <c r="D147" s="534">
        <v>-10</v>
      </c>
      <c r="E147" s="534">
        <v>-10</v>
      </c>
      <c r="F147" s="534">
        <v>-10</v>
      </c>
      <c r="G147" s="534">
        <v>-9</v>
      </c>
      <c r="H147" s="534">
        <v>-9</v>
      </c>
      <c r="I147" s="534">
        <v>-9</v>
      </c>
      <c r="J147" s="534">
        <v>-9</v>
      </c>
      <c r="K147" s="534">
        <v>-9</v>
      </c>
      <c r="L147" s="534">
        <v>-4</v>
      </c>
      <c r="M147" s="534">
        <v>-4</v>
      </c>
      <c r="N147" s="137">
        <v>-4</v>
      </c>
      <c r="O147" s="137">
        <v>-2</v>
      </c>
      <c r="P147" s="137">
        <v>-2</v>
      </c>
      <c r="Q147" s="137">
        <v>-2</v>
      </c>
      <c r="R147" s="137">
        <v>-2</v>
      </c>
      <c r="S147" s="137">
        <v>-2</v>
      </c>
      <c r="T147" s="137">
        <v>-2</v>
      </c>
      <c r="U147" s="137">
        <v>-2</v>
      </c>
      <c r="V147" s="137">
        <v>-2</v>
      </c>
      <c r="W147" s="137">
        <v>-2</v>
      </c>
      <c r="X147" s="137">
        <v>-2</v>
      </c>
      <c r="Y147" s="137">
        <v>-2</v>
      </c>
      <c r="Z147" s="137">
        <v>-2</v>
      </c>
      <c r="AA147" s="137">
        <v>-2</v>
      </c>
      <c r="AB147" s="137">
        <v>-2</v>
      </c>
      <c r="AC147" s="137">
        <v>-2</v>
      </c>
      <c r="AD147" s="137">
        <v>-3</v>
      </c>
      <c r="AE147" s="137">
        <v>-3</v>
      </c>
      <c r="AF147" s="137">
        <v>-3</v>
      </c>
      <c r="AG147" s="137">
        <v>-3</v>
      </c>
    </row>
    <row r="148" spans="1:33">
      <c r="A148">
        <v>666</v>
      </c>
      <c r="B148" t="s">
        <v>140</v>
      </c>
      <c r="C148" s="534">
        <v>9</v>
      </c>
      <c r="D148" s="534">
        <v>9</v>
      </c>
      <c r="E148" s="534">
        <v>9</v>
      </c>
      <c r="F148" s="534">
        <v>9</v>
      </c>
      <c r="G148" s="534">
        <v>9</v>
      </c>
      <c r="H148" s="534">
        <v>9</v>
      </c>
      <c r="I148" s="534">
        <v>9</v>
      </c>
      <c r="J148" s="534">
        <v>9</v>
      </c>
      <c r="K148" s="534">
        <v>9</v>
      </c>
      <c r="L148" s="534">
        <v>9</v>
      </c>
      <c r="M148" s="534">
        <v>9</v>
      </c>
      <c r="N148">
        <v>9</v>
      </c>
      <c r="O148">
        <v>9</v>
      </c>
      <c r="P148">
        <v>9</v>
      </c>
      <c r="Q148">
        <v>9</v>
      </c>
      <c r="R148">
        <v>9</v>
      </c>
      <c r="S148">
        <v>9</v>
      </c>
      <c r="T148">
        <v>9</v>
      </c>
      <c r="U148">
        <v>9</v>
      </c>
      <c r="V148">
        <v>10</v>
      </c>
      <c r="W148">
        <v>10</v>
      </c>
      <c r="X148">
        <v>10</v>
      </c>
      <c r="Y148">
        <v>10</v>
      </c>
      <c r="Z148">
        <v>10</v>
      </c>
      <c r="AA148">
        <v>10</v>
      </c>
      <c r="AB148">
        <v>10</v>
      </c>
      <c r="AC148">
        <v>10</v>
      </c>
      <c r="AD148">
        <v>10</v>
      </c>
      <c r="AE148">
        <v>10</v>
      </c>
      <c r="AF148">
        <v>10</v>
      </c>
      <c r="AG148">
        <v>10</v>
      </c>
    </row>
    <row r="149" spans="1:33">
      <c r="A149">
        <v>670</v>
      </c>
      <c r="B149" t="s">
        <v>141</v>
      </c>
      <c r="C149" s="534">
        <v>-10</v>
      </c>
      <c r="D149" s="534">
        <v>-10</v>
      </c>
      <c r="E149" s="534">
        <v>-10</v>
      </c>
      <c r="F149" s="534">
        <v>-10</v>
      </c>
      <c r="G149" s="534">
        <v>-10</v>
      </c>
      <c r="H149" s="534">
        <v>-10</v>
      </c>
      <c r="I149" s="534">
        <v>-10</v>
      </c>
      <c r="J149" s="534">
        <v>-10</v>
      </c>
      <c r="K149" s="534">
        <v>-10</v>
      </c>
      <c r="L149" s="534">
        <v>-10</v>
      </c>
      <c r="M149" s="534">
        <v>-10</v>
      </c>
      <c r="N149">
        <v>-10</v>
      </c>
      <c r="O149">
        <v>-10</v>
      </c>
      <c r="P149">
        <v>-10</v>
      </c>
      <c r="Q149">
        <v>-10</v>
      </c>
      <c r="R149">
        <v>-10</v>
      </c>
      <c r="S149">
        <v>-10</v>
      </c>
      <c r="T149">
        <v>-10</v>
      </c>
      <c r="U149">
        <v>-10</v>
      </c>
      <c r="V149">
        <v>-10</v>
      </c>
      <c r="W149">
        <v>-10</v>
      </c>
      <c r="X149">
        <v>-10</v>
      </c>
      <c r="Y149">
        <v>-10</v>
      </c>
      <c r="Z149">
        <v>-10</v>
      </c>
      <c r="AA149">
        <v>-10</v>
      </c>
      <c r="AB149">
        <v>-10</v>
      </c>
      <c r="AC149">
        <v>-10</v>
      </c>
      <c r="AD149">
        <v>-10</v>
      </c>
      <c r="AE149">
        <v>-10</v>
      </c>
      <c r="AF149">
        <v>-10</v>
      </c>
      <c r="AG149">
        <v>-10</v>
      </c>
    </row>
    <row r="150" spans="1:33">
      <c r="A150">
        <v>678</v>
      </c>
      <c r="B150" t="s">
        <v>404</v>
      </c>
      <c r="C150" s="534">
        <v>-6</v>
      </c>
      <c r="D150" s="534">
        <v>-6</v>
      </c>
      <c r="E150" s="534">
        <v>-6</v>
      </c>
      <c r="F150" s="534">
        <v>-6</v>
      </c>
      <c r="G150" s="534">
        <v>-6</v>
      </c>
      <c r="H150" s="534">
        <v>-6</v>
      </c>
      <c r="I150" s="534">
        <v>-6</v>
      </c>
      <c r="J150" s="534">
        <v>-6</v>
      </c>
      <c r="K150" s="534">
        <v>-5</v>
      </c>
      <c r="L150" s="534">
        <v>-5</v>
      </c>
      <c r="M150" s="534">
        <v>-5</v>
      </c>
    </row>
    <row r="151" spans="1:33">
      <c r="A151">
        <v>679</v>
      </c>
      <c r="B151" t="s">
        <v>142</v>
      </c>
      <c r="M151" s="534">
        <v>-5</v>
      </c>
      <c r="N151" s="138">
        <v>-4</v>
      </c>
      <c r="O151" s="138">
        <v>-3</v>
      </c>
      <c r="P151" s="138">
        <v>-2</v>
      </c>
      <c r="Q151" s="138">
        <v>-2</v>
      </c>
      <c r="R151" s="138">
        <v>-2</v>
      </c>
      <c r="S151" s="138">
        <v>-2</v>
      </c>
      <c r="T151" s="138">
        <v>-2</v>
      </c>
      <c r="U151" s="138">
        <v>-2</v>
      </c>
      <c r="V151" s="138">
        <v>-2</v>
      </c>
      <c r="W151" s="138">
        <v>-2</v>
      </c>
      <c r="X151" s="138">
        <v>-2</v>
      </c>
      <c r="Y151" s="138">
        <v>-2</v>
      </c>
      <c r="Z151" s="138">
        <v>-2</v>
      </c>
      <c r="AA151" s="138">
        <v>-2</v>
      </c>
      <c r="AB151" s="138">
        <v>-2</v>
      </c>
      <c r="AC151" s="138">
        <v>-2</v>
      </c>
      <c r="AD151" s="138">
        <v>-2</v>
      </c>
      <c r="AE151" s="138">
        <v>-2</v>
      </c>
      <c r="AF151" s="138">
        <v>-2</v>
      </c>
      <c r="AG151" s="138">
        <v>-2</v>
      </c>
    </row>
    <row r="152" spans="1:33">
      <c r="A152">
        <v>680</v>
      </c>
      <c r="B152" t="s">
        <v>405</v>
      </c>
      <c r="C152" s="534">
        <v>-8</v>
      </c>
      <c r="D152" s="534">
        <v>-8</v>
      </c>
      <c r="E152" s="534">
        <v>-8</v>
      </c>
      <c r="F152" s="534">
        <v>-8</v>
      </c>
      <c r="G152" s="534">
        <v>-8</v>
      </c>
      <c r="H152" s="534">
        <v>-8</v>
      </c>
      <c r="I152" s="534">
        <v>-7</v>
      </c>
      <c r="J152" s="534">
        <v>-7</v>
      </c>
      <c r="K152" s="534">
        <v>-7</v>
      </c>
      <c r="L152" s="534">
        <v>-7</v>
      </c>
      <c r="M152" s="534">
        <v>-7</v>
      </c>
    </row>
    <row r="153" spans="1:33">
      <c r="A153">
        <v>690</v>
      </c>
      <c r="B153" t="s">
        <v>143</v>
      </c>
      <c r="C153" s="534">
        <v>-10</v>
      </c>
      <c r="D153" s="534">
        <v>-8</v>
      </c>
      <c r="E153" s="534">
        <v>-8</v>
      </c>
      <c r="F153" s="534">
        <v>-8</v>
      </c>
      <c r="G153" s="534">
        <v>-8</v>
      </c>
      <c r="H153" s="534">
        <v>-8</v>
      </c>
      <c r="I153" s="534">
        <v>-8</v>
      </c>
      <c r="J153" s="534">
        <v>-10</v>
      </c>
      <c r="K153" s="534">
        <v>-10</v>
      </c>
      <c r="L153" s="534">
        <v>-10</v>
      </c>
      <c r="N153" s="139">
        <v>-9</v>
      </c>
      <c r="O153" s="139">
        <v>-7</v>
      </c>
      <c r="P153" s="139">
        <v>-7</v>
      </c>
      <c r="Q153" s="139">
        <v>-7</v>
      </c>
      <c r="R153" s="139">
        <v>-7</v>
      </c>
      <c r="S153" s="139">
        <v>-7</v>
      </c>
      <c r="T153" s="139">
        <v>-7</v>
      </c>
      <c r="U153" s="139">
        <v>-7</v>
      </c>
      <c r="V153" s="139">
        <v>-7</v>
      </c>
      <c r="W153" s="139">
        <v>-7</v>
      </c>
      <c r="X153" s="139">
        <v>-7</v>
      </c>
      <c r="Y153" s="139">
        <v>-7</v>
      </c>
      <c r="Z153" s="139">
        <v>-7</v>
      </c>
      <c r="AA153" s="139">
        <v>-7</v>
      </c>
      <c r="AB153" s="139">
        <v>-7</v>
      </c>
      <c r="AC153" s="139">
        <v>-7</v>
      </c>
      <c r="AD153" s="139">
        <v>-7</v>
      </c>
      <c r="AE153" s="139">
        <v>-7</v>
      </c>
      <c r="AF153" s="139">
        <v>-7</v>
      </c>
      <c r="AG153" s="139">
        <v>-7</v>
      </c>
    </row>
    <row r="154" spans="1:33">
      <c r="A154">
        <v>692</v>
      </c>
      <c r="B154" t="s">
        <v>144</v>
      </c>
      <c r="C154" s="534">
        <v>-10</v>
      </c>
      <c r="D154" s="534">
        <v>-10</v>
      </c>
      <c r="E154" s="534">
        <v>-10</v>
      </c>
      <c r="F154" s="534">
        <v>-10</v>
      </c>
      <c r="G154" s="534">
        <v>-10</v>
      </c>
      <c r="H154" s="534">
        <v>-10</v>
      </c>
      <c r="I154" s="534">
        <v>-10</v>
      </c>
      <c r="J154" s="534">
        <v>-10</v>
      </c>
      <c r="K154" s="534">
        <v>-10</v>
      </c>
      <c r="L154" s="534">
        <v>-10</v>
      </c>
      <c r="M154" s="534">
        <v>-10</v>
      </c>
      <c r="N154" s="140">
        <v>-10</v>
      </c>
      <c r="O154" s="140">
        <v>-10</v>
      </c>
      <c r="P154" s="140">
        <v>-9</v>
      </c>
      <c r="Q154" s="140">
        <v>-9</v>
      </c>
      <c r="R154" s="140">
        <v>-9</v>
      </c>
      <c r="S154" s="140">
        <v>-9</v>
      </c>
      <c r="T154" s="140">
        <v>-9</v>
      </c>
      <c r="U154" s="140">
        <v>-9</v>
      </c>
      <c r="V154" s="140">
        <v>-9</v>
      </c>
      <c r="W154" s="140">
        <v>-9</v>
      </c>
      <c r="X154" s="140">
        <v>-8</v>
      </c>
      <c r="Y154" s="140">
        <v>-7</v>
      </c>
      <c r="Z154" s="140">
        <v>-7</v>
      </c>
      <c r="AA154" s="140">
        <v>-7</v>
      </c>
      <c r="AB154" s="140">
        <v>-7</v>
      </c>
      <c r="AC154" s="140">
        <v>-7</v>
      </c>
      <c r="AD154" s="140">
        <v>-7</v>
      </c>
      <c r="AE154" s="140">
        <v>-7</v>
      </c>
      <c r="AF154" s="140">
        <v>-7</v>
      </c>
      <c r="AG154" s="140">
        <v>-8</v>
      </c>
    </row>
    <row r="155" spans="1:33">
      <c r="A155">
        <v>694</v>
      </c>
      <c r="B155" t="s">
        <v>145</v>
      </c>
      <c r="C155" s="534">
        <v>-10</v>
      </c>
      <c r="D155" s="534">
        <v>-10</v>
      </c>
      <c r="E155" s="534">
        <v>-10</v>
      </c>
      <c r="F155" s="534">
        <v>-10</v>
      </c>
      <c r="G155" s="534">
        <v>-10</v>
      </c>
      <c r="H155" s="534">
        <v>-10</v>
      </c>
      <c r="I155" s="534">
        <v>-10</v>
      </c>
      <c r="J155" s="534">
        <v>-10</v>
      </c>
      <c r="K155" s="534">
        <v>-10</v>
      </c>
      <c r="L155" s="534">
        <v>-10</v>
      </c>
      <c r="M155" s="534">
        <v>-10</v>
      </c>
      <c r="N155" s="141">
        <v>-10</v>
      </c>
      <c r="O155" s="141">
        <v>-10</v>
      </c>
      <c r="P155" s="141">
        <v>-10</v>
      </c>
      <c r="Q155" s="141">
        <v>-10</v>
      </c>
      <c r="R155" s="141">
        <v>-10</v>
      </c>
      <c r="S155" s="141">
        <v>-10</v>
      </c>
      <c r="T155" s="141">
        <v>-10</v>
      </c>
      <c r="U155" s="141">
        <v>-10</v>
      </c>
      <c r="V155" s="141">
        <v>-10</v>
      </c>
      <c r="W155" s="141">
        <v>-10</v>
      </c>
      <c r="X155" s="141">
        <v>-10</v>
      </c>
      <c r="Y155" s="141">
        <v>-10</v>
      </c>
      <c r="Z155" s="141">
        <v>-10</v>
      </c>
      <c r="AA155" s="141">
        <v>-10</v>
      </c>
      <c r="AB155" s="141">
        <v>-10</v>
      </c>
      <c r="AC155" s="141">
        <v>-10</v>
      </c>
      <c r="AD155" s="141">
        <v>-10</v>
      </c>
      <c r="AE155" s="141">
        <v>-10</v>
      </c>
      <c r="AF155" s="141">
        <v>-10</v>
      </c>
      <c r="AG155" s="141">
        <v>-10</v>
      </c>
    </row>
    <row r="156" spans="1:33">
      <c r="A156">
        <v>696</v>
      </c>
      <c r="B156" t="s">
        <v>146</v>
      </c>
      <c r="C156" s="534">
        <v>-8</v>
      </c>
      <c r="D156" s="534">
        <v>-8</v>
      </c>
      <c r="E156" s="534">
        <v>-8</v>
      </c>
      <c r="F156" s="534">
        <v>-8</v>
      </c>
      <c r="G156" s="534">
        <v>-8</v>
      </c>
      <c r="H156" s="534">
        <v>-8</v>
      </c>
      <c r="I156" s="534">
        <v>-8</v>
      </c>
      <c r="J156" s="534">
        <v>-8</v>
      </c>
      <c r="K156" s="534">
        <v>-8</v>
      </c>
      <c r="L156" s="534">
        <v>-8</v>
      </c>
      <c r="M156" s="534">
        <v>-8</v>
      </c>
      <c r="N156" s="142">
        <v>-8</v>
      </c>
      <c r="O156" s="142">
        <v>-8</v>
      </c>
      <c r="P156" s="142">
        <v>-8</v>
      </c>
      <c r="Q156" s="142">
        <v>-8</v>
      </c>
      <c r="R156" s="142">
        <v>-8</v>
      </c>
      <c r="S156" s="142">
        <v>-8</v>
      </c>
      <c r="T156" s="142">
        <v>-8</v>
      </c>
      <c r="U156" s="142">
        <v>-8</v>
      </c>
      <c r="V156" s="142">
        <v>-8</v>
      </c>
      <c r="W156" s="142">
        <v>-8</v>
      </c>
      <c r="X156" s="142">
        <v>-8</v>
      </c>
      <c r="Y156" s="142">
        <v>-8</v>
      </c>
      <c r="Z156" s="142">
        <v>-8</v>
      </c>
      <c r="AA156" s="142">
        <v>-8</v>
      </c>
      <c r="AB156" s="142">
        <v>-8</v>
      </c>
      <c r="AC156" s="142">
        <v>-8</v>
      </c>
      <c r="AD156" s="142">
        <v>-8</v>
      </c>
      <c r="AE156" s="142">
        <v>-8</v>
      </c>
      <c r="AF156" s="142">
        <v>-8</v>
      </c>
      <c r="AG156" s="142">
        <v>-8</v>
      </c>
    </row>
    <row r="157" spans="1:33">
      <c r="A157">
        <v>698</v>
      </c>
      <c r="B157" t="s">
        <v>147</v>
      </c>
      <c r="C157" s="534">
        <v>-10</v>
      </c>
      <c r="D157" s="534">
        <v>-10</v>
      </c>
      <c r="E157" s="534">
        <v>-10</v>
      </c>
      <c r="F157" s="534">
        <v>-10</v>
      </c>
      <c r="G157" s="534">
        <v>-10</v>
      </c>
      <c r="H157" s="534">
        <v>-10</v>
      </c>
      <c r="I157" s="534">
        <v>-10</v>
      </c>
      <c r="J157" s="534">
        <v>-10</v>
      </c>
      <c r="K157" s="534">
        <v>-10</v>
      </c>
      <c r="L157" s="534">
        <v>-10</v>
      </c>
      <c r="M157" s="534">
        <v>-10</v>
      </c>
      <c r="N157" s="143">
        <v>-9</v>
      </c>
      <c r="O157" s="143">
        <v>-9</v>
      </c>
      <c r="P157" s="143">
        <v>-9</v>
      </c>
      <c r="Q157" s="143">
        <v>-9</v>
      </c>
      <c r="R157" s="143">
        <v>-9</v>
      </c>
      <c r="S157" s="143">
        <v>-9</v>
      </c>
      <c r="T157" s="143">
        <v>-9</v>
      </c>
      <c r="U157" s="143">
        <v>-9</v>
      </c>
      <c r="V157" s="143">
        <v>-9</v>
      </c>
      <c r="W157" s="143">
        <v>-9</v>
      </c>
      <c r="X157" s="143">
        <v>-9</v>
      </c>
      <c r="Y157" s="143">
        <v>-8</v>
      </c>
      <c r="Z157" s="143">
        <v>-8</v>
      </c>
      <c r="AA157" s="143">
        <v>-8</v>
      </c>
      <c r="AB157" s="143">
        <v>-8</v>
      </c>
      <c r="AC157" s="143">
        <v>-8</v>
      </c>
      <c r="AD157" s="143">
        <v>-8</v>
      </c>
      <c r="AE157" s="143">
        <v>-8</v>
      </c>
      <c r="AF157" s="143">
        <v>-8</v>
      </c>
      <c r="AG157" s="143">
        <v>-8</v>
      </c>
    </row>
    <row r="158" spans="1:33">
      <c r="A158">
        <v>700</v>
      </c>
      <c r="B158" t="s">
        <v>148</v>
      </c>
      <c r="L158" s="534">
        <v>-8</v>
      </c>
      <c r="M158" s="534">
        <v>-8</v>
      </c>
      <c r="N158" s="144">
        <v>-8</v>
      </c>
      <c r="O158" s="144">
        <v>0</v>
      </c>
      <c r="P158" s="144">
        <v>0</v>
      </c>
      <c r="Q158" s="144">
        <v>0</v>
      </c>
      <c r="R158" s="144">
        <v>0</v>
      </c>
      <c r="S158" s="144">
        <v>-7</v>
      </c>
      <c r="T158" s="144">
        <v>-7</v>
      </c>
      <c r="U158" s="144">
        <v>-7</v>
      </c>
      <c r="V158" s="144">
        <v>-7</v>
      </c>
      <c r="W158" s="144">
        <v>-7</v>
      </c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</row>
    <row r="159" spans="1:33">
      <c r="A159">
        <v>701</v>
      </c>
      <c r="B159" t="s">
        <v>149</v>
      </c>
      <c r="N159" s="145">
        <v>-8</v>
      </c>
      <c r="O159" s="145">
        <v>-9</v>
      </c>
      <c r="P159" s="145">
        <v>-9</v>
      </c>
      <c r="Q159" s="145">
        <v>-9</v>
      </c>
      <c r="R159" s="145">
        <v>-9</v>
      </c>
      <c r="S159" s="145">
        <v>-9</v>
      </c>
      <c r="T159" s="145">
        <v>-9</v>
      </c>
      <c r="U159" s="145">
        <v>-9</v>
      </c>
      <c r="V159" s="145">
        <v>-9</v>
      </c>
      <c r="W159" s="145">
        <v>-9</v>
      </c>
      <c r="X159" s="145">
        <v>-9</v>
      </c>
      <c r="Y159" s="145">
        <v>-9</v>
      </c>
      <c r="Z159" s="145">
        <v>-9</v>
      </c>
      <c r="AA159" s="145">
        <v>-9</v>
      </c>
      <c r="AB159" s="145">
        <v>-9</v>
      </c>
      <c r="AC159" s="145">
        <v>-9</v>
      </c>
      <c r="AD159" s="145">
        <v>-9</v>
      </c>
      <c r="AE159" s="145">
        <v>-9</v>
      </c>
      <c r="AF159" s="145">
        <v>-9</v>
      </c>
      <c r="AG159" s="145">
        <v>-9</v>
      </c>
    </row>
    <row r="160" spans="1:33">
      <c r="A160">
        <v>702</v>
      </c>
      <c r="B160" t="s">
        <v>150</v>
      </c>
      <c r="N160" s="146">
        <v>-2</v>
      </c>
      <c r="O160" s="146">
        <v>-6</v>
      </c>
      <c r="P160" s="146">
        <v>-6</v>
      </c>
      <c r="Q160" s="146">
        <v>-6</v>
      </c>
      <c r="R160" s="146">
        <v>-6</v>
      </c>
      <c r="S160" s="146">
        <v>-6</v>
      </c>
      <c r="T160" s="146">
        <v>-5</v>
      </c>
      <c r="U160" s="146">
        <v>-1</v>
      </c>
      <c r="V160" s="146">
        <v>-1</v>
      </c>
      <c r="W160" s="146">
        <v>-1</v>
      </c>
      <c r="X160" s="146">
        <v>-1</v>
      </c>
      <c r="Y160" s="146">
        <v>-1</v>
      </c>
      <c r="Z160" s="146">
        <v>-3</v>
      </c>
      <c r="AA160" s="146">
        <v>-3</v>
      </c>
      <c r="AB160" s="146">
        <v>-3</v>
      </c>
      <c r="AC160" s="146">
        <v>-3</v>
      </c>
      <c r="AD160" s="146">
        <v>-3</v>
      </c>
      <c r="AE160" s="146">
        <v>-3</v>
      </c>
      <c r="AF160" s="146">
        <v>-3</v>
      </c>
      <c r="AG160" s="146">
        <v>-3</v>
      </c>
    </row>
    <row r="161" spans="1:33">
      <c r="A161">
        <v>703</v>
      </c>
      <c r="B161" t="s">
        <v>151</v>
      </c>
      <c r="N161" s="147">
        <v>-3</v>
      </c>
      <c r="O161" s="147">
        <v>-3</v>
      </c>
      <c r="P161" s="147">
        <v>-3</v>
      </c>
      <c r="Q161" s="147">
        <v>-3</v>
      </c>
      <c r="R161" s="147">
        <v>-3</v>
      </c>
      <c r="S161" s="147">
        <v>-3</v>
      </c>
      <c r="T161" s="147">
        <v>-3</v>
      </c>
      <c r="U161" s="147">
        <v>-3</v>
      </c>
      <c r="V161" s="147">
        <v>-3</v>
      </c>
      <c r="W161" s="147">
        <v>-3</v>
      </c>
      <c r="X161" s="147">
        <v>-3</v>
      </c>
      <c r="Y161" s="147">
        <v>-3</v>
      </c>
      <c r="Z161" s="147">
        <v>-3</v>
      </c>
      <c r="AA161" s="147">
        <v>-3</v>
      </c>
      <c r="AB161" s="147">
        <v>3</v>
      </c>
      <c r="AC161" s="147">
        <v>4</v>
      </c>
      <c r="AD161" s="147">
        <v>3</v>
      </c>
      <c r="AE161" s="147">
        <v>3</v>
      </c>
      <c r="AF161" s="147">
        <v>1</v>
      </c>
      <c r="AG161" s="147">
        <v>7</v>
      </c>
    </row>
    <row r="162" spans="1:33">
      <c r="A162">
        <v>704</v>
      </c>
      <c r="B162" t="s">
        <v>152</v>
      </c>
      <c r="N162" s="148">
        <v>-9</v>
      </c>
      <c r="O162" s="148">
        <v>-9</v>
      </c>
      <c r="P162" s="148">
        <v>-9</v>
      </c>
      <c r="Q162" s="148">
        <v>-9</v>
      </c>
      <c r="R162" s="148">
        <v>-9</v>
      </c>
      <c r="S162" s="148">
        <v>-9</v>
      </c>
      <c r="T162" s="148">
        <v>-9</v>
      </c>
      <c r="U162" s="148">
        <v>-9</v>
      </c>
      <c r="V162" s="148">
        <v>-9</v>
      </c>
      <c r="W162" s="148">
        <v>-9</v>
      </c>
      <c r="X162" s="148">
        <v>-9</v>
      </c>
      <c r="Y162" s="148">
        <v>-9</v>
      </c>
      <c r="Z162" s="148">
        <v>-9</v>
      </c>
      <c r="AA162" s="148">
        <v>-9</v>
      </c>
      <c r="AB162" s="148">
        <v>-9</v>
      </c>
      <c r="AC162" s="148">
        <v>-9</v>
      </c>
      <c r="AD162" s="148">
        <v>-9</v>
      </c>
      <c r="AE162" s="148">
        <v>-9</v>
      </c>
      <c r="AF162" s="148">
        <v>-9</v>
      </c>
      <c r="AG162" s="148">
        <v>-9</v>
      </c>
    </row>
    <row r="163" spans="1:33">
      <c r="A163">
        <v>705</v>
      </c>
      <c r="B163" t="s">
        <v>153</v>
      </c>
      <c r="N163" s="149">
        <v>-3</v>
      </c>
      <c r="O163" s="149">
        <v>-3</v>
      </c>
      <c r="P163" s="149">
        <v>-3</v>
      </c>
      <c r="Q163" s="149">
        <v>-3</v>
      </c>
      <c r="R163" s="149">
        <v>-4</v>
      </c>
      <c r="S163" s="149">
        <v>-4</v>
      </c>
      <c r="T163" s="149">
        <v>-4</v>
      </c>
      <c r="U163" s="149">
        <v>-4</v>
      </c>
      <c r="V163" s="149">
        <v>-4</v>
      </c>
      <c r="W163" s="149">
        <v>-4</v>
      </c>
      <c r="X163" s="149">
        <v>-4</v>
      </c>
      <c r="Y163" s="149">
        <v>-6</v>
      </c>
      <c r="Z163" s="149">
        <v>-6</v>
      </c>
      <c r="AA163" s="149">
        <v>-6</v>
      </c>
      <c r="AB163" s="149">
        <v>-6</v>
      </c>
      <c r="AC163" s="149">
        <v>-6</v>
      </c>
      <c r="AD163" s="149">
        <v>-6</v>
      </c>
      <c r="AE163" s="149">
        <v>-6</v>
      </c>
      <c r="AF163" s="149">
        <v>-6</v>
      </c>
      <c r="AG163" s="149">
        <v>-6</v>
      </c>
    </row>
    <row r="164" spans="1:33">
      <c r="A164">
        <v>710</v>
      </c>
      <c r="B164" t="s">
        <v>154</v>
      </c>
      <c r="C164" s="534">
        <v>-7</v>
      </c>
      <c r="D164" s="534">
        <v>-7</v>
      </c>
      <c r="E164" s="534">
        <v>-7</v>
      </c>
      <c r="F164" s="534">
        <v>-7</v>
      </c>
      <c r="G164" s="534">
        <v>-7</v>
      </c>
      <c r="H164" s="534">
        <v>-7</v>
      </c>
      <c r="I164" s="534">
        <v>-7</v>
      </c>
      <c r="J164" s="534">
        <v>-7</v>
      </c>
      <c r="K164" s="534">
        <v>-7</v>
      </c>
      <c r="L164" s="534">
        <v>-7</v>
      </c>
      <c r="M164" s="534">
        <v>-7</v>
      </c>
      <c r="N164" s="150">
        <v>-7</v>
      </c>
      <c r="O164" s="150">
        <v>-7</v>
      </c>
      <c r="P164" s="150">
        <v>-7</v>
      </c>
      <c r="Q164" s="150">
        <v>-7</v>
      </c>
      <c r="R164" s="150">
        <v>-7</v>
      </c>
      <c r="S164" s="150">
        <v>-7</v>
      </c>
      <c r="T164" s="150">
        <v>-7</v>
      </c>
      <c r="U164" s="150">
        <v>-7</v>
      </c>
      <c r="V164" s="150">
        <v>-7</v>
      </c>
      <c r="W164" s="150">
        <v>-7</v>
      </c>
      <c r="X164" s="150">
        <v>-7</v>
      </c>
      <c r="Y164" s="150">
        <v>-7</v>
      </c>
      <c r="Z164" s="150">
        <v>-7</v>
      </c>
      <c r="AA164" s="150">
        <v>-7</v>
      </c>
      <c r="AB164" s="150">
        <v>-7</v>
      </c>
      <c r="AC164" s="150">
        <v>-7</v>
      </c>
      <c r="AD164" s="150">
        <v>-7</v>
      </c>
      <c r="AE164" s="150">
        <v>-7</v>
      </c>
      <c r="AF164" s="150">
        <v>-7</v>
      </c>
      <c r="AG164" s="150">
        <v>-7</v>
      </c>
    </row>
    <row r="165" spans="1:33">
      <c r="A165">
        <v>712</v>
      </c>
      <c r="B165" t="s">
        <v>155</v>
      </c>
      <c r="C165" s="534">
        <v>-7</v>
      </c>
      <c r="D165" s="534">
        <v>-7</v>
      </c>
      <c r="E165" s="534">
        <v>-7</v>
      </c>
      <c r="F165" s="534">
        <v>-7</v>
      </c>
      <c r="G165" s="534">
        <v>-7</v>
      </c>
      <c r="H165" s="534">
        <v>-7</v>
      </c>
      <c r="I165" s="534">
        <v>-7</v>
      </c>
      <c r="J165" s="534">
        <v>-7</v>
      </c>
      <c r="K165" s="534">
        <v>-7</v>
      </c>
      <c r="L165" s="534">
        <v>-7</v>
      </c>
      <c r="M165" s="534">
        <v>2</v>
      </c>
      <c r="N165">
        <v>2</v>
      </c>
      <c r="O165">
        <v>9</v>
      </c>
      <c r="P165">
        <v>9</v>
      </c>
      <c r="Q165">
        <v>9</v>
      </c>
      <c r="R165">
        <v>9</v>
      </c>
      <c r="S165">
        <v>10</v>
      </c>
      <c r="T165">
        <v>10</v>
      </c>
      <c r="U165">
        <v>10</v>
      </c>
      <c r="V165">
        <v>10</v>
      </c>
      <c r="W165">
        <v>10</v>
      </c>
      <c r="X165">
        <v>10</v>
      </c>
      <c r="Y165">
        <v>10</v>
      </c>
      <c r="Z165">
        <v>10</v>
      </c>
      <c r="AA165">
        <v>10</v>
      </c>
      <c r="AB165">
        <v>10</v>
      </c>
      <c r="AC165">
        <v>10</v>
      </c>
      <c r="AD165">
        <v>10</v>
      </c>
      <c r="AE165">
        <v>10</v>
      </c>
      <c r="AF165">
        <v>10</v>
      </c>
      <c r="AG165">
        <v>10</v>
      </c>
    </row>
    <row r="166" spans="1:33">
      <c r="A166">
        <v>713</v>
      </c>
      <c r="B166" t="s">
        <v>156</v>
      </c>
      <c r="C166" s="534">
        <v>-7</v>
      </c>
      <c r="D166" s="534">
        <v>-7</v>
      </c>
      <c r="E166" s="534">
        <v>-7</v>
      </c>
      <c r="F166" s="534">
        <v>-7</v>
      </c>
      <c r="G166" s="534">
        <v>-7</v>
      </c>
      <c r="H166" s="534">
        <v>-7</v>
      </c>
      <c r="I166" s="534">
        <v>-7</v>
      </c>
      <c r="J166" s="534">
        <v>-1</v>
      </c>
      <c r="K166" s="534">
        <v>-1</v>
      </c>
      <c r="L166" s="534">
        <v>-1</v>
      </c>
      <c r="M166" s="534">
        <v>-1</v>
      </c>
      <c r="N166">
        <v>-1</v>
      </c>
      <c r="O166">
        <v>7</v>
      </c>
      <c r="P166">
        <v>7</v>
      </c>
      <c r="Q166">
        <v>7</v>
      </c>
      <c r="R166">
        <v>7</v>
      </c>
      <c r="S166">
        <v>8</v>
      </c>
      <c r="T166">
        <v>9</v>
      </c>
      <c r="U166">
        <v>9</v>
      </c>
      <c r="V166">
        <v>9</v>
      </c>
      <c r="W166">
        <v>9</v>
      </c>
      <c r="X166">
        <v>9</v>
      </c>
      <c r="Y166">
        <v>9</v>
      </c>
      <c r="Z166">
        <v>9</v>
      </c>
      <c r="AA166">
        <v>10</v>
      </c>
      <c r="AB166">
        <v>10</v>
      </c>
      <c r="AC166">
        <v>10</v>
      </c>
      <c r="AD166">
        <v>10</v>
      </c>
      <c r="AE166">
        <v>10</v>
      </c>
      <c r="AF166">
        <v>10</v>
      </c>
      <c r="AG166">
        <v>10</v>
      </c>
    </row>
    <row r="167" spans="1:33">
      <c r="A167">
        <v>731</v>
      </c>
      <c r="B167" t="s">
        <v>157</v>
      </c>
      <c r="C167" s="534">
        <v>-9</v>
      </c>
      <c r="D167" s="534">
        <v>-9</v>
      </c>
      <c r="E167" s="534">
        <v>-9</v>
      </c>
      <c r="F167" s="534">
        <v>-9</v>
      </c>
      <c r="G167" s="534">
        <v>-9</v>
      </c>
      <c r="H167" s="534">
        <v>-9</v>
      </c>
      <c r="I167" s="534">
        <v>-9</v>
      </c>
      <c r="J167" s="534">
        <v>-9</v>
      </c>
      <c r="K167" s="534">
        <v>-9</v>
      </c>
      <c r="L167" s="534">
        <v>-9</v>
      </c>
      <c r="M167" s="534">
        <v>-9</v>
      </c>
      <c r="N167">
        <v>-9</v>
      </c>
      <c r="O167">
        <v>-9</v>
      </c>
      <c r="P167">
        <v>-9</v>
      </c>
      <c r="Q167">
        <v>-9</v>
      </c>
      <c r="R167">
        <v>-9</v>
      </c>
      <c r="S167">
        <v>-9</v>
      </c>
      <c r="T167">
        <v>-9</v>
      </c>
      <c r="U167">
        <v>-9</v>
      </c>
      <c r="V167">
        <v>-9</v>
      </c>
      <c r="W167">
        <v>-9</v>
      </c>
      <c r="X167">
        <v>-9</v>
      </c>
      <c r="Y167">
        <v>-9</v>
      </c>
      <c r="Z167">
        <v>-9</v>
      </c>
      <c r="AA167">
        <v>-9</v>
      </c>
      <c r="AB167">
        <v>-9</v>
      </c>
      <c r="AC167">
        <v>-9</v>
      </c>
      <c r="AD167">
        <v>-9</v>
      </c>
      <c r="AE167">
        <v>-9</v>
      </c>
      <c r="AF167">
        <v>-9</v>
      </c>
      <c r="AG167">
        <v>-9</v>
      </c>
    </row>
    <row r="168" spans="1:33">
      <c r="A168">
        <v>732</v>
      </c>
      <c r="B168" t="s">
        <v>158</v>
      </c>
      <c r="C168" s="534">
        <v>-8</v>
      </c>
      <c r="D168" s="534">
        <v>-5</v>
      </c>
      <c r="E168" s="534">
        <v>-5</v>
      </c>
      <c r="F168" s="534">
        <v>-5</v>
      </c>
      <c r="G168" s="534">
        <v>-5</v>
      </c>
      <c r="H168" s="534">
        <v>-5</v>
      </c>
      <c r="I168" s="534">
        <v>-5</v>
      </c>
      <c r="J168" s="534">
        <v>1</v>
      </c>
      <c r="K168" s="534">
        <v>6</v>
      </c>
      <c r="L168" s="534">
        <v>6</v>
      </c>
      <c r="M168" s="534">
        <v>6</v>
      </c>
      <c r="N168" s="151">
        <v>6</v>
      </c>
      <c r="O168" s="151">
        <v>6</v>
      </c>
      <c r="P168" s="151">
        <v>6</v>
      </c>
      <c r="Q168" s="151">
        <v>6</v>
      </c>
      <c r="R168" s="151">
        <v>6</v>
      </c>
      <c r="S168" s="151">
        <v>6</v>
      </c>
      <c r="T168" s="151">
        <v>6</v>
      </c>
      <c r="U168" s="151">
        <v>8</v>
      </c>
      <c r="V168" s="151">
        <v>8</v>
      </c>
      <c r="W168" s="151">
        <v>8</v>
      </c>
      <c r="X168" s="151">
        <v>8</v>
      </c>
      <c r="Y168" s="151">
        <v>8</v>
      </c>
      <c r="Z168" s="151">
        <v>8</v>
      </c>
      <c r="AA168" s="151">
        <v>8</v>
      </c>
      <c r="AB168" s="151">
        <v>8</v>
      </c>
      <c r="AC168" s="151">
        <v>8</v>
      </c>
      <c r="AD168" s="151">
        <v>8</v>
      </c>
      <c r="AE168" s="151">
        <v>8</v>
      </c>
      <c r="AF168" s="151">
        <v>8</v>
      </c>
      <c r="AG168" s="151">
        <v>8</v>
      </c>
    </row>
    <row r="169" spans="1:33">
      <c r="A169">
        <v>740</v>
      </c>
      <c r="B169" t="s">
        <v>159</v>
      </c>
      <c r="C169" s="534">
        <v>10</v>
      </c>
      <c r="D169" s="534">
        <v>10</v>
      </c>
      <c r="E169" s="534">
        <v>10</v>
      </c>
      <c r="F169" s="534">
        <v>10</v>
      </c>
      <c r="G169" s="534">
        <v>10</v>
      </c>
      <c r="H169" s="534">
        <v>10</v>
      </c>
      <c r="I169" s="534">
        <v>10</v>
      </c>
      <c r="J169" s="534">
        <v>10</v>
      </c>
      <c r="K169" s="534">
        <v>10</v>
      </c>
      <c r="L169" s="534">
        <v>10</v>
      </c>
      <c r="M169" s="534">
        <v>10</v>
      </c>
      <c r="N169" s="152">
        <v>10</v>
      </c>
      <c r="O169" s="152">
        <v>10</v>
      </c>
      <c r="P169" s="152">
        <v>10</v>
      </c>
      <c r="Q169" s="152">
        <v>10</v>
      </c>
      <c r="R169" s="152">
        <v>10</v>
      </c>
      <c r="S169" s="152">
        <v>10</v>
      </c>
      <c r="T169" s="152">
        <v>10</v>
      </c>
      <c r="U169" s="152">
        <v>10</v>
      </c>
      <c r="V169" s="152">
        <v>10</v>
      </c>
      <c r="W169" s="152">
        <v>10</v>
      </c>
      <c r="X169" s="152">
        <v>10</v>
      </c>
      <c r="Y169" s="152">
        <v>10</v>
      </c>
      <c r="Z169" s="152">
        <v>10</v>
      </c>
      <c r="AA169" s="152">
        <v>10</v>
      </c>
      <c r="AB169" s="152">
        <v>10</v>
      </c>
      <c r="AC169" s="152">
        <v>10</v>
      </c>
      <c r="AD169" s="152">
        <v>10</v>
      </c>
      <c r="AE169" s="152">
        <v>10</v>
      </c>
      <c r="AF169" s="152">
        <v>10</v>
      </c>
      <c r="AG169" s="152">
        <v>10</v>
      </c>
    </row>
    <row r="170" spans="1:33">
      <c r="A170">
        <v>750</v>
      </c>
      <c r="B170" t="s">
        <v>160</v>
      </c>
      <c r="C170" s="534">
        <v>8</v>
      </c>
      <c r="D170" s="534">
        <v>8</v>
      </c>
      <c r="E170" s="534">
        <v>8</v>
      </c>
      <c r="F170" s="534">
        <v>8</v>
      </c>
      <c r="G170" s="534">
        <v>8</v>
      </c>
      <c r="H170" s="534">
        <v>8</v>
      </c>
      <c r="I170" s="534">
        <v>8</v>
      </c>
      <c r="J170" s="534">
        <v>8</v>
      </c>
      <c r="K170" s="534">
        <v>8</v>
      </c>
      <c r="L170" s="534">
        <v>8</v>
      </c>
      <c r="M170" s="534">
        <v>8</v>
      </c>
      <c r="N170" s="153">
        <v>8</v>
      </c>
      <c r="O170" s="153">
        <v>8</v>
      </c>
      <c r="P170" s="153">
        <v>8</v>
      </c>
      <c r="Q170" s="153">
        <v>8</v>
      </c>
      <c r="R170" s="153">
        <v>9</v>
      </c>
      <c r="S170" s="153">
        <v>9</v>
      </c>
      <c r="T170" s="153">
        <v>9</v>
      </c>
      <c r="U170" s="153">
        <v>9</v>
      </c>
      <c r="V170" s="153">
        <v>9</v>
      </c>
      <c r="W170" s="153">
        <v>9</v>
      </c>
      <c r="X170" s="153">
        <v>9</v>
      </c>
      <c r="Y170" s="153">
        <v>9</v>
      </c>
      <c r="Z170" s="153">
        <v>9</v>
      </c>
      <c r="AA170" s="153">
        <v>9</v>
      </c>
      <c r="AB170" s="153">
        <v>9</v>
      </c>
      <c r="AC170" s="153">
        <v>9</v>
      </c>
      <c r="AD170" s="153">
        <v>9</v>
      </c>
      <c r="AE170" s="153">
        <v>9</v>
      </c>
      <c r="AF170" s="153">
        <v>9</v>
      </c>
      <c r="AG170" s="153">
        <v>9</v>
      </c>
    </row>
    <row r="171" spans="1:33">
      <c r="A171">
        <v>760</v>
      </c>
      <c r="B171" t="s">
        <v>161</v>
      </c>
      <c r="C171" s="534">
        <v>-10</v>
      </c>
      <c r="D171" s="534">
        <v>-10</v>
      </c>
      <c r="E171" s="534">
        <v>-10</v>
      </c>
      <c r="F171" s="534">
        <v>-10</v>
      </c>
      <c r="G171" s="534">
        <v>-10</v>
      </c>
      <c r="H171" s="534">
        <v>-10</v>
      </c>
      <c r="I171" s="534">
        <v>-10</v>
      </c>
      <c r="J171" s="534">
        <v>-10</v>
      </c>
      <c r="K171" s="534">
        <v>-10</v>
      </c>
      <c r="L171" s="534">
        <v>-10</v>
      </c>
      <c r="M171" s="534">
        <v>-10</v>
      </c>
      <c r="N171" s="154">
        <v>-10</v>
      </c>
      <c r="O171" s="154">
        <v>-10</v>
      </c>
      <c r="P171" s="154">
        <v>-10</v>
      </c>
      <c r="Q171" s="154">
        <v>-10</v>
      </c>
      <c r="R171" s="154">
        <v>-10</v>
      </c>
      <c r="S171" s="154">
        <v>-10</v>
      </c>
      <c r="T171" s="154">
        <v>-10</v>
      </c>
      <c r="U171" s="154">
        <v>-10</v>
      </c>
      <c r="V171" s="154">
        <v>-10</v>
      </c>
      <c r="W171" s="154">
        <v>-10</v>
      </c>
      <c r="X171" s="154">
        <v>-10</v>
      </c>
      <c r="Y171" s="154">
        <v>-10</v>
      </c>
      <c r="Z171" s="154">
        <v>-10</v>
      </c>
      <c r="AA171" s="154">
        <v>-10</v>
      </c>
      <c r="AB171" s="154">
        <v>-6</v>
      </c>
      <c r="AC171" s="154">
        <v>-6</v>
      </c>
      <c r="AD171" s="154">
        <v>-6</v>
      </c>
      <c r="AE171" s="154">
        <v>3</v>
      </c>
      <c r="AF171" s="154">
        <v>3</v>
      </c>
      <c r="AG171" s="154">
        <v>3</v>
      </c>
    </row>
    <row r="172" spans="1:33">
      <c r="A172">
        <v>770</v>
      </c>
      <c r="B172" t="s">
        <v>162</v>
      </c>
      <c r="C172" s="534">
        <v>-7</v>
      </c>
      <c r="D172" s="534">
        <v>-7</v>
      </c>
      <c r="E172" s="534">
        <v>-7</v>
      </c>
      <c r="F172" s="534">
        <v>-7</v>
      </c>
      <c r="G172" s="534">
        <v>-7</v>
      </c>
      <c r="H172" s="534">
        <v>-4</v>
      </c>
      <c r="I172" s="534">
        <v>-4</v>
      </c>
      <c r="J172" s="534">
        <v>-4</v>
      </c>
      <c r="K172" s="534">
        <v>8</v>
      </c>
      <c r="L172" s="534">
        <v>8</v>
      </c>
      <c r="M172" s="534">
        <v>8</v>
      </c>
      <c r="N172" s="155">
        <v>8</v>
      </c>
      <c r="O172" s="155">
        <v>8</v>
      </c>
      <c r="P172" s="155">
        <v>8</v>
      </c>
      <c r="Q172" s="155">
        <v>8</v>
      </c>
      <c r="R172" s="155">
        <v>8</v>
      </c>
      <c r="S172" s="155">
        <v>8</v>
      </c>
      <c r="T172" s="155">
        <v>7</v>
      </c>
      <c r="U172" s="155">
        <v>7</v>
      </c>
      <c r="V172" s="155">
        <v>-6</v>
      </c>
      <c r="W172" s="155">
        <v>-6</v>
      </c>
      <c r="X172" s="155">
        <v>-6</v>
      </c>
      <c r="Y172" s="155">
        <v>-5</v>
      </c>
      <c r="Z172" s="155">
        <v>-5</v>
      </c>
      <c r="AA172" s="155">
        <v>-5</v>
      </c>
      <c r="AB172" s="155">
        <v>-5</v>
      </c>
      <c r="AC172" s="155">
        <v>-5</v>
      </c>
      <c r="AD172" s="155">
        <v>2</v>
      </c>
      <c r="AE172" s="155">
        <v>5</v>
      </c>
      <c r="AF172" s="155">
        <v>5</v>
      </c>
      <c r="AG172" s="155">
        <v>6</v>
      </c>
    </row>
    <row r="173" spans="1:33">
      <c r="A173">
        <v>771</v>
      </c>
      <c r="B173" t="s">
        <v>163</v>
      </c>
      <c r="C173" s="534">
        <v>-4</v>
      </c>
      <c r="D173" s="534">
        <v>-4</v>
      </c>
      <c r="E173" s="534">
        <v>-7</v>
      </c>
      <c r="F173" s="534">
        <v>-7</v>
      </c>
      <c r="G173" s="534">
        <v>-7</v>
      </c>
      <c r="H173" s="534">
        <v>-7</v>
      </c>
      <c r="I173" s="534">
        <v>-5</v>
      </c>
      <c r="J173" s="534">
        <v>-5</v>
      </c>
      <c r="K173" s="534">
        <v>-5</v>
      </c>
      <c r="L173" s="534">
        <v>-5</v>
      </c>
      <c r="M173" s="534">
        <v>-5</v>
      </c>
      <c r="N173" s="156">
        <v>6</v>
      </c>
      <c r="O173" s="156">
        <v>6</v>
      </c>
      <c r="P173" s="156">
        <v>6</v>
      </c>
      <c r="Q173" s="156">
        <v>6</v>
      </c>
      <c r="R173" s="156">
        <v>6</v>
      </c>
      <c r="S173" s="156">
        <v>6</v>
      </c>
      <c r="T173" s="156">
        <v>6</v>
      </c>
      <c r="U173" s="156">
        <v>6</v>
      </c>
      <c r="V173" s="156">
        <v>6</v>
      </c>
      <c r="W173" s="156">
        <v>6</v>
      </c>
      <c r="X173" s="156">
        <v>6</v>
      </c>
      <c r="Y173" s="156">
        <v>6</v>
      </c>
      <c r="Z173" s="156">
        <v>6</v>
      </c>
      <c r="AA173" s="156">
        <v>6</v>
      </c>
      <c r="AB173" s="156">
        <v>6</v>
      </c>
      <c r="AC173" s="156">
        <v>6</v>
      </c>
      <c r="AD173" s="156">
        <v>-6</v>
      </c>
      <c r="AE173" s="156">
        <v>-6</v>
      </c>
      <c r="AF173" s="156">
        <v>5</v>
      </c>
      <c r="AG173" s="156">
        <v>5</v>
      </c>
    </row>
    <row r="174" spans="1:33">
      <c r="A174">
        <v>775</v>
      </c>
      <c r="B174" t="s">
        <v>164</v>
      </c>
      <c r="C174" s="534">
        <v>-8</v>
      </c>
      <c r="D174" s="534">
        <v>-8</v>
      </c>
      <c r="E174" s="534">
        <v>-8</v>
      </c>
      <c r="F174" s="534">
        <v>-8</v>
      </c>
      <c r="G174" s="534">
        <v>-8</v>
      </c>
      <c r="H174" s="534">
        <v>-8</v>
      </c>
      <c r="I174" s="534">
        <v>-8</v>
      </c>
      <c r="J174" s="534">
        <v>-8</v>
      </c>
      <c r="K174" s="534">
        <v>-6</v>
      </c>
      <c r="L174" s="534">
        <v>-6</v>
      </c>
      <c r="M174" s="534">
        <v>-7</v>
      </c>
      <c r="N174" s="157">
        <v>-7</v>
      </c>
      <c r="O174" s="157">
        <v>-7</v>
      </c>
      <c r="P174" s="157">
        <v>-7</v>
      </c>
      <c r="Q174" s="157">
        <v>-7</v>
      </c>
      <c r="R174" s="157">
        <v>-7</v>
      </c>
      <c r="S174" s="157">
        <v>-7</v>
      </c>
      <c r="T174" s="157">
        <v>-7</v>
      </c>
      <c r="U174" s="157">
        <v>-7</v>
      </c>
      <c r="V174" s="157">
        <v>-7</v>
      </c>
      <c r="W174" s="157">
        <v>-7</v>
      </c>
      <c r="X174" s="157">
        <v>-7</v>
      </c>
      <c r="Y174" s="157">
        <v>-7</v>
      </c>
      <c r="Z174" s="157">
        <v>-7</v>
      </c>
      <c r="AA174" s="157">
        <v>-8</v>
      </c>
      <c r="AB174" s="157">
        <v>-8</v>
      </c>
      <c r="AC174" s="157">
        <v>-8</v>
      </c>
      <c r="AD174" s="157">
        <v>-8</v>
      </c>
      <c r="AE174" s="157">
        <v>-6</v>
      </c>
      <c r="AF174" s="157">
        <v>-6</v>
      </c>
      <c r="AG174" s="157">
        <v>-6</v>
      </c>
    </row>
    <row r="175" spans="1:33">
      <c r="A175">
        <v>780</v>
      </c>
      <c r="B175" t="s">
        <v>165</v>
      </c>
      <c r="C175" s="534">
        <v>6</v>
      </c>
      <c r="D175" s="534">
        <v>6</v>
      </c>
      <c r="E175" s="534">
        <v>5</v>
      </c>
      <c r="F175" s="534">
        <v>5</v>
      </c>
      <c r="G175" s="534">
        <v>5</v>
      </c>
      <c r="H175" s="534">
        <v>5</v>
      </c>
      <c r="I175" s="534">
        <v>5</v>
      </c>
      <c r="J175" s="534">
        <v>5</v>
      </c>
      <c r="K175" s="534">
        <v>5</v>
      </c>
      <c r="L175" s="534">
        <v>5</v>
      </c>
      <c r="M175" s="534">
        <v>5</v>
      </c>
      <c r="N175" s="158">
        <v>5</v>
      </c>
      <c r="O175" s="158">
        <v>5</v>
      </c>
      <c r="P175" s="158">
        <v>5</v>
      </c>
      <c r="Q175" s="158">
        <v>5</v>
      </c>
      <c r="R175" s="158">
        <v>5</v>
      </c>
      <c r="S175" s="158">
        <v>5</v>
      </c>
      <c r="T175" s="158">
        <v>5</v>
      </c>
      <c r="U175" s="158">
        <v>5</v>
      </c>
      <c r="V175" s="158">
        <v>5</v>
      </c>
      <c r="W175" s="158">
        <v>5</v>
      </c>
      <c r="X175" s="158">
        <v>6</v>
      </c>
      <c r="Y175" s="158">
        <v>6</v>
      </c>
      <c r="Z175" s="158">
        <v>5</v>
      </c>
      <c r="AA175" s="158">
        <v>5</v>
      </c>
      <c r="AB175" s="158">
        <v>5</v>
      </c>
      <c r="AC175" s="158">
        <v>6</v>
      </c>
      <c r="AD175" s="158">
        <v>6</v>
      </c>
      <c r="AE175" s="158">
        <v>6</v>
      </c>
      <c r="AF175" s="158">
        <v>6</v>
      </c>
      <c r="AG175" s="158">
        <v>4</v>
      </c>
    </row>
    <row r="176" spans="1:33">
      <c r="A176">
        <v>781</v>
      </c>
      <c r="B176" t="s">
        <v>166</v>
      </c>
    </row>
    <row r="177" spans="1:33">
      <c r="A177">
        <v>790</v>
      </c>
      <c r="B177" t="s">
        <v>167</v>
      </c>
      <c r="C177" s="534">
        <v>-9</v>
      </c>
      <c r="D177" s="534">
        <v>-2</v>
      </c>
      <c r="E177" s="534">
        <v>-2</v>
      </c>
      <c r="F177" s="534">
        <v>-2</v>
      </c>
      <c r="G177" s="534">
        <v>-2</v>
      </c>
      <c r="H177" s="534">
        <v>-2</v>
      </c>
      <c r="I177" s="534">
        <v>-2</v>
      </c>
      <c r="J177" s="534">
        <v>-2</v>
      </c>
      <c r="K177" s="534">
        <v>-2</v>
      </c>
      <c r="L177" s="534">
        <v>-2</v>
      </c>
      <c r="M177" s="534">
        <v>5</v>
      </c>
      <c r="N177" s="159">
        <v>5</v>
      </c>
      <c r="O177" s="159">
        <v>5</v>
      </c>
      <c r="P177" s="159">
        <v>5</v>
      </c>
      <c r="Q177" s="159">
        <v>5</v>
      </c>
      <c r="R177" s="159">
        <v>5</v>
      </c>
      <c r="S177" s="159">
        <v>5</v>
      </c>
      <c r="T177" s="159">
        <v>5</v>
      </c>
      <c r="U177" s="159">
        <v>5</v>
      </c>
      <c r="V177" s="159">
        <v>6</v>
      </c>
      <c r="W177" s="159">
        <v>6</v>
      </c>
      <c r="X177" s="159">
        <v>6</v>
      </c>
      <c r="Y177" s="159">
        <v>-6</v>
      </c>
      <c r="Z177" s="159">
        <v>-6</v>
      </c>
      <c r="AA177" s="159">
        <v>-6</v>
      </c>
      <c r="AB177" s="159">
        <v>-6</v>
      </c>
      <c r="AC177" s="159">
        <v>6</v>
      </c>
      <c r="AD177" s="159">
        <v>6</v>
      </c>
      <c r="AE177" s="159">
        <v>6</v>
      </c>
      <c r="AF177" s="159">
        <v>6</v>
      </c>
      <c r="AG177" s="159">
        <v>6</v>
      </c>
    </row>
    <row r="178" spans="1:33">
      <c r="A178">
        <v>800</v>
      </c>
      <c r="B178" t="s">
        <v>168</v>
      </c>
      <c r="C178" s="534">
        <v>2</v>
      </c>
      <c r="D178" s="534">
        <v>2</v>
      </c>
      <c r="E178" s="534">
        <v>2</v>
      </c>
      <c r="F178" s="534">
        <v>2</v>
      </c>
      <c r="G178" s="534">
        <v>2</v>
      </c>
      <c r="H178" s="534">
        <v>2</v>
      </c>
      <c r="I178" s="534">
        <v>2</v>
      </c>
      <c r="J178" s="534">
        <v>2</v>
      </c>
      <c r="K178" s="534">
        <v>3</v>
      </c>
      <c r="L178" s="534">
        <v>3</v>
      </c>
      <c r="M178" s="534">
        <v>3</v>
      </c>
      <c r="N178" s="160">
        <v>-1</v>
      </c>
      <c r="O178" s="160">
        <v>9</v>
      </c>
      <c r="P178" s="160">
        <v>9</v>
      </c>
      <c r="Q178" s="160">
        <v>9</v>
      </c>
      <c r="R178" s="160">
        <v>9</v>
      </c>
      <c r="S178" s="160">
        <v>9</v>
      </c>
      <c r="T178" s="160">
        <v>9</v>
      </c>
      <c r="U178" s="160">
        <v>9</v>
      </c>
      <c r="V178" s="160">
        <v>9</v>
      </c>
      <c r="W178" s="160">
        <v>9</v>
      </c>
      <c r="X178" s="160">
        <v>9</v>
      </c>
      <c r="Y178" s="160">
        <v>9</v>
      </c>
      <c r="Z178" s="160">
        <v>9</v>
      </c>
      <c r="AA178" s="160">
        <v>9</v>
      </c>
      <c r="AB178" s="160">
        <v>9</v>
      </c>
      <c r="AC178" s="160">
        <v>-5</v>
      </c>
      <c r="AD178" s="160">
        <v>-1</v>
      </c>
      <c r="AE178" s="160">
        <v>4</v>
      </c>
      <c r="AF178" s="160">
        <v>4</v>
      </c>
      <c r="AG178" s="160">
        <v>4</v>
      </c>
    </row>
    <row r="179" spans="1:33">
      <c r="A179">
        <v>811</v>
      </c>
      <c r="B179" t="s">
        <v>169</v>
      </c>
      <c r="K179" s="534">
        <v>0</v>
      </c>
      <c r="L179" s="534">
        <v>0</v>
      </c>
      <c r="M179" s="534">
        <v>1</v>
      </c>
      <c r="N179" s="161">
        <v>1</v>
      </c>
      <c r="O179" s="161">
        <v>1</v>
      </c>
      <c r="P179" s="161">
        <v>1</v>
      </c>
      <c r="Q179" s="161">
        <v>1</v>
      </c>
      <c r="R179" s="161">
        <v>1</v>
      </c>
      <c r="S179" s="161">
        <v>1</v>
      </c>
      <c r="T179" s="161">
        <v>-7</v>
      </c>
      <c r="U179" s="161">
        <v>2</v>
      </c>
      <c r="V179" s="161">
        <v>2</v>
      </c>
      <c r="W179" s="161">
        <v>2</v>
      </c>
      <c r="X179" s="161">
        <v>2</v>
      </c>
      <c r="Y179" s="161">
        <v>2</v>
      </c>
      <c r="Z179" s="161">
        <v>2</v>
      </c>
      <c r="AA179" s="161">
        <v>2</v>
      </c>
      <c r="AB179" s="161">
        <v>2</v>
      </c>
      <c r="AC179" s="161">
        <v>2</v>
      </c>
      <c r="AD179" s="161">
        <v>2</v>
      </c>
      <c r="AE179" s="161">
        <v>2</v>
      </c>
      <c r="AF179" s="161">
        <v>2</v>
      </c>
      <c r="AG179" s="161">
        <v>2</v>
      </c>
    </row>
    <row r="180" spans="1:33">
      <c r="A180">
        <v>812</v>
      </c>
      <c r="B180" t="s">
        <v>170</v>
      </c>
      <c r="C180" s="534">
        <v>-7</v>
      </c>
      <c r="D180" s="534">
        <v>-7</v>
      </c>
      <c r="E180" s="534">
        <v>-7</v>
      </c>
      <c r="F180" s="534">
        <v>-7</v>
      </c>
      <c r="G180" s="534">
        <v>-7</v>
      </c>
      <c r="H180" s="534">
        <v>-7</v>
      </c>
      <c r="I180" s="534">
        <v>-7</v>
      </c>
      <c r="J180" s="534">
        <v>-7</v>
      </c>
      <c r="K180" s="534">
        <v>-7</v>
      </c>
      <c r="L180" s="534">
        <v>-7</v>
      </c>
      <c r="M180" s="534">
        <v>-7</v>
      </c>
      <c r="N180" s="162">
        <v>-7</v>
      </c>
      <c r="O180" s="162">
        <v>-7</v>
      </c>
      <c r="P180" s="162">
        <v>-7</v>
      </c>
      <c r="Q180" s="162">
        <v>-7</v>
      </c>
      <c r="R180" s="162">
        <v>-7</v>
      </c>
      <c r="S180" s="162">
        <v>-7</v>
      </c>
      <c r="T180" s="162">
        <v>-7</v>
      </c>
      <c r="U180" s="162">
        <v>-7</v>
      </c>
      <c r="V180" s="162">
        <v>-7</v>
      </c>
      <c r="W180" s="162">
        <v>-7</v>
      </c>
      <c r="X180" s="162">
        <v>-7</v>
      </c>
      <c r="Y180" s="162">
        <v>-7</v>
      </c>
      <c r="Z180" s="162">
        <v>-7</v>
      </c>
      <c r="AA180" s="162">
        <v>-7</v>
      </c>
      <c r="AB180" s="162">
        <v>-7</v>
      </c>
      <c r="AC180" s="162">
        <v>-7</v>
      </c>
      <c r="AD180" s="162">
        <v>-7</v>
      </c>
      <c r="AE180" s="162">
        <v>-7</v>
      </c>
      <c r="AF180" s="162">
        <v>-7</v>
      </c>
      <c r="AG180" s="162">
        <v>-7</v>
      </c>
    </row>
    <row r="181" spans="1:33">
      <c r="A181">
        <v>816</v>
      </c>
      <c r="B181" t="s">
        <v>171</v>
      </c>
      <c r="N181" s="163">
        <v>-7</v>
      </c>
      <c r="O181" s="163">
        <v>-7</v>
      </c>
      <c r="P181" s="163">
        <v>-7</v>
      </c>
      <c r="Q181" s="163">
        <v>-7</v>
      </c>
      <c r="R181" s="163">
        <v>-7</v>
      </c>
      <c r="S181" s="163">
        <v>-7</v>
      </c>
      <c r="T181" s="163">
        <v>-7</v>
      </c>
      <c r="U181" s="163">
        <v>-7</v>
      </c>
      <c r="V181" s="163">
        <v>-7</v>
      </c>
      <c r="W181" s="163">
        <v>-7</v>
      </c>
      <c r="X181" s="163">
        <v>-7</v>
      </c>
      <c r="Y181" s="163">
        <v>-7</v>
      </c>
      <c r="Z181" s="163">
        <v>-7</v>
      </c>
      <c r="AA181" s="163">
        <v>-7</v>
      </c>
      <c r="AB181" s="163">
        <v>-7</v>
      </c>
      <c r="AC181" s="163">
        <v>-7</v>
      </c>
      <c r="AD181" s="163">
        <v>-7</v>
      </c>
      <c r="AE181" s="163">
        <v>-7</v>
      </c>
      <c r="AF181" s="163">
        <v>-7</v>
      </c>
      <c r="AG181" s="163">
        <v>-7</v>
      </c>
    </row>
    <row r="182" spans="1:33">
      <c r="A182">
        <v>820</v>
      </c>
      <c r="B182" t="s">
        <v>172</v>
      </c>
      <c r="C182" s="534">
        <v>4</v>
      </c>
      <c r="D182" s="534">
        <v>4</v>
      </c>
      <c r="E182" s="534">
        <v>4</v>
      </c>
      <c r="F182" s="534">
        <v>4</v>
      </c>
      <c r="G182" s="534">
        <v>4</v>
      </c>
      <c r="H182" s="534">
        <v>4</v>
      </c>
      <c r="I182" s="534">
        <v>4</v>
      </c>
      <c r="J182" s="534">
        <v>4</v>
      </c>
      <c r="K182" s="534">
        <v>4</v>
      </c>
      <c r="L182" s="534">
        <v>4</v>
      </c>
      <c r="M182" s="534">
        <v>4</v>
      </c>
      <c r="N182" s="164">
        <v>4</v>
      </c>
      <c r="O182" s="164">
        <v>4</v>
      </c>
      <c r="P182" s="164">
        <v>4</v>
      </c>
      <c r="Q182" s="164">
        <v>4</v>
      </c>
      <c r="R182" s="164">
        <v>3</v>
      </c>
      <c r="S182" s="164">
        <v>3</v>
      </c>
      <c r="T182" s="164">
        <v>3</v>
      </c>
      <c r="U182" s="164">
        <v>3</v>
      </c>
      <c r="V182" s="164">
        <v>3</v>
      </c>
      <c r="W182" s="164">
        <v>3</v>
      </c>
      <c r="X182" s="164">
        <v>3</v>
      </c>
      <c r="Y182" s="164">
        <v>3</v>
      </c>
      <c r="Z182" s="164">
        <v>3</v>
      </c>
      <c r="AA182" s="164">
        <v>3</v>
      </c>
      <c r="AB182" s="164">
        <v>3</v>
      </c>
      <c r="AC182" s="164">
        <v>3</v>
      </c>
      <c r="AD182" s="164">
        <v>3</v>
      </c>
      <c r="AE182" s="164">
        <v>6</v>
      </c>
      <c r="AF182" s="164">
        <v>6</v>
      </c>
      <c r="AG182" s="164">
        <v>6</v>
      </c>
    </row>
    <row r="183" spans="1:33">
      <c r="A183">
        <v>830</v>
      </c>
      <c r="B183" t="s">
        <v>173</v>
      </c>
      <c r="C183" s="534">
        <v>-2</v>
      </c>
      <c r="D183" s="534">
        <v>-2</v>
      </c>
      <c r="E183" s="534">
        <v>-2</v>
      </c>
      <c r="F183" s="534">
        <v>-2</v>
      </c>
      <c r="G183" s="534">
        <v>-2</v>
      </c>
      <c r="H183" s="534">
        <v>-2</v>
      </c>
      <c r="I183" s="534">
        <v>-2</v>
      </c>
      <c r="J183" s="534">
        <v>-2</v>
      </c>
      <c r="K183" s="534">
        <v>-2</v>
      </c>
      <c r="L183" s="534">
        <v>-2</v>
      </c>
      <c r="M183" s="534">
        <v>-2</v>
      </c>
      <c r="N183" s="165">
        <v>-2</v>
      </c>
      <c r="O183" s="165">
        <v>-2</v>
      </c>
      <c r="P183" s="165">
        <v>-2</v>
      </c>
      <c r="Q183" s="165">
        <v>-2</v>
      </c>
      <c r="R183" s="165">
        <v>-2</v>
      </c>
      <c r="S183" s="165">
        <v>-2</v>
      </c>
      <c r="T183" s="165">
        <v>-2</v>
      </c>
      <c r="U183" s="165">
        <v>-2</v>
      </c>
      <c r="V183" s="165">
        <v>-2</v>
      </c>
      <c r="W183" s="165">
        <v>-2</v>
      </c>
      <c r="X183" s="165">
        <v>-2</v>
      </c>
      <c r="Y183" s="165">
        <v>-2</v>
      </c>
      <c r="Z183" s="165">
        <v>-2</v>
      </c>
      <c r="AA183" s="165">
        <v>-2</v>
      </c>
      <c r="AB183" s="165">
        <v>-2</v>
      </c>
      <c r="AC183" s="165">
        <v>-2</v>
      </c>
      <c r="AD183" s="165">
        <v>-2</v>
      </c>
      <c r="AE183" s="165">
        <v>-2</v>
      </c>
      <c r="AF183" s="165">
        <v>-2</v>
      </c>
      <c r="AG183" s="165">
        <v>-2</v>
      </c>
    </row>
    <row r="184" spans="1:33">
      <c r="A184">
        <v>835</v>
      </c>
      <c r="B184" t="s">
        <v>174</v>
      </c>
    </row>
    <row r="185" spans="1:33">
      <c r="A185">
        <v>840</v>
      </c>
      <c r="B185" t="s">
        <v>175</v>
      </c>
      <c r="C185" s="534">
        <v>-9</v>
      </c>
      <c r="D185" s="534">
        <v>-8</v>
      </c>
      <c r="E185" s="534">
        <v>-7</v>
      </c>
      <c r="F185" s="534">
        <v>-6</v>
      </c>
      <c r="G185" s="534">
        <v>-6</v>
      </c>
      <c r="H185" s="534">
        <v>-6</v>
      </c>
      <c r="I185" s="534">
        <v>1</v>
      </c>
      <c r="J185" s="534">
        <v>8</v>
      </c>
      <c r="K185" s="534">
        <v>8</v>
      </c>
      <c r="L185" s="534">
        <v>8</v>
      </c>
      <c r="M185" s="534">
        <v>8</v>
      </c>
      <c r="N185" s="166">
        <v>8</v>
      </c>
      <c r="O185" s="166">
        <v>8</v>
      </c>
      <c r="P185" s="166">
        <v>8</v>
      </c>
      <c r="Q185" s="166">
        <v>8</v>
      </c>
      <c r="R185" s="166">
        <v>8</v>
      </c>
      <c r="S185" s="166">
        <v>8</v>
      </c>
      <c r="T185" s="166">
        <v>8</v>
      </c>
      <c r="U185" s="166">
        <v>8</v>
      </c>
      <c r="V185" s="166">
        <v>8</v>
      </c>
      <c r="W185" s="166">
        <v>8</v>
      </c>
      <c r="X185" s="166">
        <v>8</v>
      </c>
      <c r="Y185" s="166">
        <v>8</v>
      </c>
      <c r="Z185" s="166">
        <v>8</v>
      </c>
      <c r="AA185" s="166">
        <v>8</v>
      </c>
      <c r="AB185" s="166">
        <v>8</v>
      </c>
      <c r="AC185" s="166">
        <v>8</v>
      </c>
      <c r="AD185" s="166">
        <v>8</v>
      </c>
      <c r="AE185" s="166">
        <v>8</v>
      </c>
      <c r="AF185" s="166">
        <v>8</v>
      </c>
      <c r="AG185" s="166">
        <v>8</v>
      </c>
    </row>
    <row r="186" spans="1:33">
      <c r="A186">
        <v>850</v>
      </c>
      <c r="B186" t="s">
        <v>176</v>
      </c>
      <c r="C186" s="534">
        <v>-7</v>
      </c>
      <c r="D186" s="534">
        <v>-7</v>
      </c>
      <c r="E186" s="534">
        <v>-7</v>
      </c>
      <c r="F186" s="534">
        <v>-7</v>
      </c>
      <c r="G186" s="534">
        <v>-7</v>
      </c>
      <c r="H186" s="534">
        <v>-7</v>
      </c>
      <c r="I186" s="534">
        <v>-7</v>
      </c>
      <c r="J186" s="534">
        <v>-7</v>
      </c>
      <c r="K186" s="534">
        <v>-7</v>
      </c>
      <c r="L186" s="534">
        <v>-7</v>
      </c>
      <c r="M186" s="534">
        <v>-7</v>
      </c>
      <c r="N186" s="167">
        <v>-7</v>
      </c>
      <c r="O186" s="167">
        <v>-7</v>
      </c>
      <c r="P186" s="167">
        <v>-7</v>
      </c>
      <c r="Q186" s="167">
        <v>-7</v>
      </c>
      <c r="R186" s="167">
        <v>-7</v>
      </c>
      <c r="S186" s="167">
        <v>-7</v>
      </c>
      <c r="T186" s="167">
        <v>-7</v>
      </c>
      <c r="U186" s="167">
        <v>-5</v>
      </c>
      <c r="V186" s="167">
        <v>6</v>
      </c>
      <c r="W186" s="167">
        <v>6</v>
      </c>
      <c r="X186" s="167">
        <v>6</v>
      </c>
      <c r="Y186" s="167">
        <v>6</v>
      </c>
      <c r="Z186" s="167">
        <v>6</v>
      </c>
      <c r="AA186" s="167">
        <v>8</v>
      </c>
      <c r="AB186" s="167">
        <v>8</v>
      </c>
      <c r="AC186" s="167">
        <v>8</v>
      </c>
      <c r="AD186" s="167">
        <v>8</v>
      </c>
      <c r="AE186" s="167">
        <v>8</v>
      </c>
      <c r="AF186" s="167">
        <v>8</v>
      </c>
      <c r="AG186" s="167">
        <v>8</v>
      </c>
    </row>
    <row r="187" spans="1:33">
      <c r="A187">
        <v>860</v>
      </c>
      <c r="B187" t="s">
        <v>197</v>
      </c>
      <c r="Y187">
        <v>6</v>
      </c>
      <c r="Z187">
        <v>6</v>
      </c>
      <c r="AA187">
        <v>6</v>
      </c>
      <c r="AB187">
        <v>6</v>
      </c>
      <c r="AC187">
        <v>7</v>
      </c>
      <c r="AD187">
        <v>7</v>
      </c>
      <c r="AE187">
        <v>7</v>
      </c>
      <c r="AF187">
        <v>7</v>
      </c>
      <c r="AG187">
        <v>7</v>
      </c>
    </row>
    <row r="188" spans="1:33">
      <c r="A188">
        <v>900</v>
      </c>
      <c r="B188" t="s">
        <v>177</v>
      </c>
      <c r="C188" s="534">
        <v>10</v>
      </c>
      <c r="D188" s="534">
        <v>10</v>
      </c>
      <c r="E188" s="534">
        <v>10</v>
      </c>
      <c r="F188" s="534">
        <v>10</v>
      </c>
      <c r="G188" s="534">
        <v>10</v>
      </c>
      <c r="H188" s="534">
        <v>10</v>
      </c>
      <c r="I188" s="534">
        <v>10</v>
      </c>
      <c r="J188" s="534">
        <v>10</v>
      </c>
      <c r="K188" s="534">
        <v>10</v>
      </c>
      <c r="L188" s="534">
        <v>10</v>
      </c>
      <c r="M188" s="534">
        <v>10</v>
      </c>
      <c r="N188">
        <v>10</v>
      </c>
      <c r="O188">
        <v>10</v>
      </c>
      <c r="P188">
        <v>10</v>
      </c>
      <c r="Q188">
        <v>10</v>
      </c>
      <c r="R188">
        <v>10</v>
      </c>
      <c r="S188">
        <v>10</v>
      </c>
      <c r="T188">
        <v>10</v>
      </c>
      <c r="U188">
        <v>10</v>
      </c>
      <c r="V188">
        <v>10</v>
      </c>
      <c r="W188">
        <v>10</v>
      </c>
      <c r="X188">
        <v>10</v>
      </c>
      <c r="Y188">
        <v>10</v>
      </c>
      <c r="Z188">
        <v>10</v>
      </c>
      <c r="AA188">
        <v>10</v>
      </c>
      <c r="AB188">
        <v>10</v>
      </c>
      <c r="AC188">
        <v>10</v>
      </c>
      <c r="AD188">
        <v>10</v>
      </c>
      <c r="AE188">
        <v>10</v>
      </c>
      <c r="AF188">
        <v>10</v>
      </c>
      <c r="AG188">
        <v>10</v>
      </c>
    </row>
    <row r="189" spans="1:33">
      <c r="A189">
        <v>910</v>
      </c>
      <c r="B189" t="s">
        <v>178</v>
      </c>
      <c r="C189" s="534">
        <v>4</v>
      </c>
      <c r="D189" s="534">
        <v>4</v>
      </c>
      <c r="E189" s="534">
        <v>4</v>
      </c>
      <c r="F189" s="534">
        <v>4</v>
      </c>
      <c r="G189" s="534">
        <v>4</v>
      </c>
      <c r="H189" s="534">
        <v>4</v>
      </c>
      <c r="I189" s="534">
        <v>4</v>
      </c>
      <c r="J189" s="534">
        <v>4</v>
      </c>
      <c r="K189" s="534">
        <v>4</v>
      </c>
      <c r="L189" s="534">
        <v>4</v>
      </c>
      <c r="M189" s="534">
        <v>4</v>
      </c>
      <c r="N189" s="168">
        <v>4</v>
      </c>
      <c r="O189" s="168">
        <v>4</v>
      </c>
      <c r="P189" s="168">
        <v>4</v>
      </c>
      <c r="Q189" s="168">
        <v>4</v>
      </c>
      <c r="R189" s="168">
        <v>4</v>
      </c>
      <c r="S189" s="168">
        <v>4</v>
      </c>
      <c r="T189" s="168">
        <v>4</v>
      </c>
      <c r="U189" s="168">
        <v>4</v>
      </c>
      <c r="V189" s="168">
        <v>4</v>
      </c>
      <c r="W189" s="168">
        <v>4</v>
      </c>
      <c r="X189" s="168">
        <v>4</v>
      </c>
      <c r="Y189" s="168">
        <v>4</v>
      </c>
      <c r="Z189" s="168">
        <v>4</v>
      </c>
      <c r="AA189" s="168">
        <v>4</v>
      </c>
      <c r="AB189" s="168">
        <v>4</v>
      </c>
      <c r="AC189" s="168">
        <v>4</v>
      </c>
      <c r="AD189" s="168">
        <v>4</v>
      </c>
      <c r="AE189" s="168">
        <v>4</v>
      </c>
      <c r="AF189" s="168">
        <v>4</v>
      </c>
      <c r="AG189" s="168">
        <v>4</v>
      </c>
    </row>
    <row r="190" spans="1:33">
      <c r="A190">
        <v>920</v>
      </c>
      <c r="B190" t="s">
        <v>179</v>
      </c>
      <c r="C190" s="534">
        <v>10</v>
      </c>
      <c r="D190" s="534">
        <v>10</v>
      </c>
      <c r="E190" s="534">
        <v>10</v>
      </c>
      <c r="F190" s="534">
        <v>10</v>
      </c>
      <c r="G190" s="534">
        <v>10</v>
      </c>
      <c r="H190" s="534">
        <v>10</v>
      </c>
      <c r="I190" s="534">
        <v>10</v>
      </c>
      <c r="J190" s="534">
        <v>10</v>
      </c>
      <c r="K190" s="534">
        <v>10</v>
      </c>
      <c r="L190" s="534">
        <v>10</v>
      </c>
      <c r="M190" s="534">
        <v>10</v>
      </c>
      <c r="N190" s="169">
        <v>10</v>
      </c>
      <c r="O190" s="169">
        <v>10</v>
      </c>
      <c r="P190" s="169">
        <v>10</v>
      </c>
      <c r="Q190" s="169">
        <v>10</v>
      </c>
      <c r="R190" s="169">
        <v>10</v>
      </c>
      <c r="S190" s="169">
        <v>10</v>
      </c>
      <c r="T190" s="169">
        <v>10</v>
      </c>
      <c r="U190" s="169">
        <v>10</v>
      </c>
      <c r="V190" s="169">
        <v>10</v>
      </c>
      <c r="W190" s="169">
        <v>10</v>
      </c>
      <c r="X190" s="169">
        <v>10</v>
      </c>
      <c r="Y190" s="169">
        <v>10</v>
      </c>
      <c r="Z190" s="169">
        <v>10</v>
      </c>
      <c r="AA190" s="169">
        <v>10</v>
      </c>
      <c r="AB190" s="169">
        <v>10</v>
      </c>
      <c r="AC190" s="169">
        <v>10</v>
      </c>
      <c r="AD190" s="169">
        <v>10</v>
      </c>
      <c r="AE190" s="169">
        <v>10</v>
      </c>
      <c r="AF190" s="169">
        <v>10</v>
      </c>
      <c r="AG190" s="169">
        <v>10</v>
      </c>
    </row>
    <row r="191" spans="1:33">
      <c r="A191">
        <v>935</v>
      </c>
      <c r="B191" t="s">
        <v>180</v>
      </c>
      <c r="AC191" s="21"/>
    </row>
    <row r="192" spans="1:33">
      <c r="A192">
        <v>940</v>
      </c>
      <c r="B192" t="s">
        <v>181</v>
      </c>
      <c r="C192" s="534">
        <v>7</v>
      </c>
      <c r="D192" s="534">
        <v>7</v>
      </c>
      <c r="E192" s="534">
        <v>7</v>
      </c>
      <c r="F192" s="534">
        <v>7</v>
      </c>
      <c r="G192" s="534">
        <v>7</v>
      </c>
      <c r="H192" s="534">
        <v>7</v>
      </c>
      <c r="I192" s="534">
        <v>7</v>
      </c>
      <c r="J192" s="534">
        <v>7</v>
      </c>
      <c r="K192" s="534">
        <v>7</v>
      </c>
      <c r="L192" s="534">
        <v>7</v>
      </c>
      <c r="M192" s="534">
        <v>8</v>
      </c>
      <c r="N192" s="170">
        <v>8</v>
      </c>
      <c r="O192" s="170">
        <v>8</v>
      </c>
      <c r="P192" s="170">
        <v>8</v>
      </c>
      <c r="Q192" s="170">
        <v>8</v>
      </c>
      <c r="R192" s="170">
        <v>8</v>
      </c>
      <c r="S192" s="170">
        <v>8</v>
      </c>
      <c r="T192" s="170">
        <v>8</v>
      </c>
      <c r="U192" s="170">
        <v>8</v>
      </c>
      <c r="V192" s="170">
        <v>8</v>
      </c>
      <c r="W192" s="170">
        <v>0</v>
      </c>
      <c r="X192" s="170">
        <v>0</v>
      </c>
      <c r="Y192" s="170">
        <v>0</v>
      </c>
      <c r="Z192" s="170"/>
      <c r="AA192" s="170">
        <v>8</v>
      </c>
      <c r="AB192" s="170">
        <v>8</v>
      </c>
      <c r="AC192" s="170">
        <v>8</v>
      </c>
      <c r="AD192" s="170">
        <v>8</v>
      </c>
      <c r="AE192" s="170">
        <v>8</v>
      </c>
      <c r="AF192" s="170">
        <v>8</v>
      </c>
      <c r="AG192" s="170">
        <v>8</v>
      </c>
    </row>
    <row r="193" spans="1:33">
      <c r="A193">
        <v>946</v>
      </c>
      <c r="B193" t="s">
        <v>182</v>
      </c>
    </row>
    <row r="194" spans="1:33" s="21" customFormat="1">
      <c r="A194" s="21">
        <v>947</v>
      </c>
      <c r="B194" s="21" t="s">
        <v>183</v>
      </c>
      <c r="C194" s="534"/>
      <c r="D194" s="534"/>
      <c r="E194" s="534"/>
      <c r="F194" s="534"/>
      <c r="G194" s="534"/>
      <c r="H194" s="534"/>
      <c r="I194" s="534"/>
      <c r="J194" s="534"/>
      <c r="K194" s="534"/>
      <c r="L194" s="534"/>
      <c r="M194" s="534"/>
      <c r="AC194"/>
    </row>
    <row r="195" spans="1:33">
      <c r="A195">
        <v>950</v>
      </c>
      <c r="B195" t="s">
        <v>184</v>
      </c>
      <c r="C195" s="534">
        <v>9</v>
      </c>
      <c r="D195" s="534">
        <v>9</v>
      </c>
      <c r="E195" s="534">
        <v>9</v>
      </c>
      <c r="F195" s="534">
        <v>9</v>
      </c>
      <c r="G195" s="534">
        <v>9</v>
      </c>
      <c r="H195" s="534">
        <v>9</v>
      </c>
      <c r="I195" s="534">
        <v>9</v>
      </c>
      <c r="J195" s="534">
        <v>-3</v>
      </c>
      <c r="K195" s="534">
        <v>-3</v>
      </c>
      <c r="L195" s="534">
        <v>-3</v>
      </c>
      <c r="M195" s="534">
        <v>5</v>
      </c>
      <c r="N195" s="171">
        <v>5</v>
      </c>
      <c r="O195" s="171">
        <v>5</v>
      </c>
      <c r="P195" s="171">
        <v>5</v>
      </c>
      <c r="Q195" s="171">
        <v>5</v>
      </c>
      <c r="R195" s="171">
        <v>5</v>
      </c>
      <c r="S195" s="171">
        <v>5</v>
      </c>
      <c r="T195" s="171">
        <v>5</v>
      </c>
      <c r="U195" s="171">
        <v>5</v>
      </c>
      <c r="V195" s="171">
        <v>6</v>
      </c>
      <c r="W195" s="171">
        <v>5</v>
      </c>
      <c r="X195" s="171">
        <v>5</v>
      </c>
      <c r="Y195" s="171">
        <v>5</v>
      </c>
      <c r="Z195" s="171">
        <v>5</v>
      </c>
      <c r="AA195" s="171">
        <v>6</v>
      </c>
      <c r="AB195" s="171">
        <v>6</v>
      </c>
      <c r="AC195" s="171">
        <v>-3</v>
      </c>
      <c r="AD195" s="171">
        <v>-4</v>
      </c>
      <c r="AE195" s="171">
        <v>-4</v>
      </c>
      <c r="AF195" s="171">
        <v>-4</v>
      </c>
      <c r="AG195" s="171">
        <v>-4</v>
      </c>
    </row>
    <row r="196" spans="1:33">
      <c r="A196">
        <v>955</v>
      </c>
      <c r="B196" t="s">
        <v>185</v>
      </c>
    </row>
    <row r="197" spans="1:33">
      <c r="A197">
        <v>983</v>
      </c>
      <c r="B197" t="s">
        <v>187</v>
      </c>
    </row>
    <row r="198" spans="1:33">
      <c r="A198">
        <v>986</v>
      </c>
      <c r="B198" t="s">
        <v>188</v>
      </c>
    </row>
    <row r="199" spans="1:33">
      <c r="A199">
        <v>987</v>
      </c>
      <c r="B199" t="s">
        <v>189</v>
      </c>
    </row>
    <row r="200" spans="1:33">
      <c r="A200">
        <v>990</v>
      </c>
      <c r="B200" t="s">
        <v>190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8"/>
  <sheetViews>
    <sheetView topLeftCell="N1" workbookViewId="0">
      <selection activeCell="N196" sqref="N196"/>
    </sheetView>
  </sheetViews>
  <sheetFormatPr defaultRowHeight="15"/>
  <cols>
    <col min="3" max="13" width="9.140625" style="534"/>
  </cols>
  <sheetData>
    <row r="1" spans="1:32">
      <c r="A1" s="12" t="s">
        <v>437</v>
      </c>
    </row>
    <row r="2" spans="1:32">
      <c r="A2" s="1" t="s">
        <v>423</v>
      </c>
    </row>
    <row r="3" spans="1:32">
      <c r="A3" s="171" t="s">
        <v>439</v>
      </c>
    </row>
    <row r="5" spans="1:32" s="21" customFormat="1">
      <c r="A5" s="21" t="s">
        <v>191</v>
      </c>
      <c r="B5" s="21" t="s">
        <v>192</v>
      </c>
      <c r="C5" s="534">
        <v>1980</v>
      </c>
      <c r="D5" s="534">
        <v>1981</v>
      </c>
      <c r="E5" s="534">
        <v>1982</v>
      </c>
      <c r="F5" s="534">
        <v>1983</v>
      </c>
      <c r="G5" s="534">
        <v>1984</v>
      </c>
      <c r="H5" s="534">
        <v>1985</v>
      </c>
      <c r="I5" s="534">
        <v>1986</v>
      </c>
      <c r="J5" s="534">
        <v>1987</v>
      </c>
      <c r="K5" s="534">
        <v>1988</v>
      </c>
      <c r="L5" s="534">
        <v>1989</v>
      </c>
      <c r="M5" s="534">
        <v>1990</v>
      </c>
      <c r="N5" s="21">
        <v>1991</v>
      </c>
      <c r="O5" s="21">
        <v>1992</v>
      </c>
      <c r="P5" s="21">
        <v>1993</v>
      </c>
      <c r="Q5" s="21">
        <v>1994</v>
      </c>
      <c r="R5" s="21">
        <v>1995</v>
      </c>
      <c r="S5" s="21">
        <v>1996</v>
      </c>
      <c r="T5" s="21">
        <v>1997</v>
      </c>
      <c r="U5" s="21">
        <v>1998</v>
      </c>
      <c r="V5" s="21">
        <v>1999</v>
      </c>
      <c r="W5" s="21">
        <v>2000</v>
      </c>
      <c r="X5" s="21">
        <v>2001</v>
      </c>
      <c r="Y5" s="21">
        <v>2002</v>
      </c>
      <c r="Z5" s="21">
        <v>2003</v>
      </c>
      <c r="AA5" s="21">
        <v>2004</v>
      </c>
      <c r="AB5" s="21">
        <v>2005</v>
      </c>
      <c r="AC5" s="21">
        <v>2006</v>
      </c>
      <c r="AD5" s="21">
        <v>2007</v>
      </c>
      <c r="AE5" s="21">
        <v>2008</v>
      </c>
      <c r="AF5" s="21">
        <v>2009</v>
      </c>
    </row>
    <row r="6" spans="1:32">
      <c r="A6" s="21">
        <v>58</v>
      </c>
      <c r="B6" s="21" t="s">
        <v>13</v>
      </c>
      <c r="C6" s="1035">
        <v>67.302644861699974</v>
      </c>
      <c r="D6" s="1035">
        <v>73.224226072273822</v>
      </c>
      <c r="E6" s="1035">
        <v>67.822908998935375</v>
      </c>
      <c r="F6" s="1035">
        <v>61.348860687766063</v>
      </c>
      <c r="G6" s="1035">
        <v>74.743852459016395</v>
      </c>
      <c r="H6" s="1035">
        <v>75.140815730779863</v>
      </c>
      <c r="I6" s="1035">
        <v>84.114047475599477</v>
      </c>
      <c r="J6" s="1035">
        <v>79.596115219527334</v>
      </c>
      <c r="K6" s="1035">
        <v>78.735452716297786</v>
      </c>
      <c r="L6" s="1035">
        <v>81.003580975751305</v>
      </c>
      <c r="M6" s="1035">
        <v>88.952366539290978</v>
      </c>
      <c r="N6" s="176">
        <v>90.079864695786739</v>
      </c>
      <c r="O6" s="176">
        <v>96.107185009089633</v>
      </c>
      <c r="P6" s="176">
        <v>96.221152102817868</v>
      </c>
      <c r="Q6" s="176">
        <v>58.804360706244822</v>
      </c>
      <c r="R6" s="176">
        <v>85.295656202157687</v>
      </c>
      <c r="S6" s="176">
        <v>75.665687431067838</v>
      </c>
      <c r="T6" s="176">
        <v>76.448647449129226</v>
      </c>
      <c r="U6" s="176">
        <v>75.140674036498154</v>
      </c>
      <c r="V6" s="176">
        <v>72.536363636363632</v>
      </c>
      <c r="W6" s="176">
        <v>70.292259392060316</v>
      </c>
      <c r="X6" s="176">
        <v>60.49694661361363</v>
      </c>
      <c r="Y6" s="176">
        <v>56.869828812274861</v>
      </c>
      <c r="Z6" s="176">
        <v>57.921992337918446</v>
      </c>
      <c r="AA6" s="176">
        <v>61.106846477740881</v>
      </c>
      <c r="AB6" s="176">
        <v>57.42412654193069</v>
      </c>
      <c r="AC6" s="176">
        <v>49.534326477075382</v>
      </c>
      <c r="AD6" s="176">
        <v>47.708760085783254</v>
      </c>
      <c r="AE6" s="176">
        <v>49.094630572954337</v>
      </c>
      <c r="AF6" s="176">
        <v>47.523038458517689</v>
      </c>
    </row>
    <row r="7" spans="1:32">
      <c r="A7" s="21">
        <v>700</v>
      </c>
      <c r="B7" s="21" t="s">
        <v>148</v>
      </c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>
        <v>30.557208828728776</v>
      </c>
      <c r="Z7" s="172">
        <v>41.939322048176464</v>
      </c>
      <c r="AA7" s="172">
        <v>30.261458777393031</v>
      </c>
      <c r="AB7" s="172">
        <v>25.201850509204082</v>
      </c>
      <c r="AC7" s="172">
        <v>24.191138589122957</v>
      </c>
      <c r="AD7" s="172">
        <v>18.022292379771756</v>
      </c>
      <c r="AE7" s="172">
        <v>15.5695</v>
      </c>
      <c r="AF7" s="172"/>
    </row>
    <row r="8" spans="1:32">
      <c r="A8" s="21">
        <v>339</v>
      </c>
      <c r="B8" s="21" t="s">
        <v>56</v>
      </c>
      <c r="C8" s="1032">
        <v>23.115587576187103</v>
      </c>
      <c r="D8" s="1032">
        <v>22.982642585135888</v>
      </c>
      <c r="E8" s="1032">
        <v>19.375000386847198</v>
      </c>
      <c r="F8" s="1032">
        <v>18.196603961870998</v>
      </c>
      <c r="G8" s="1032">
        <v>17.413082651188699</v>
      </c>
      <c r="H8" s="1032">
        <v>16.235545328442409</v>
      </c>
      <c r="I8" s="1032">
        <v>15.057504754033319</v>
      </c>
      <c r="J8" s="1032">
        <v>15.466297204425855</v>
      </c>
      <c r="K8" s="1032">
        <v>16.382290122295391</v>
      </c>
      <c r="L8" s="1032">
        <v>17.94015281559712</v>
      </c>
      <c r="M8" s="1032">
        <v>14.869446544829767</v>
      </c>
      <c r="N8" s="173">
        <v>7.2245794836315742</v>
      </c>
      <c r="O8" s="173">
        <v>11.490438011605642</v>
      </c>
      <c r="P8" s="173">
        <v>15.422523281090109</v>
      </c>
      <c r="Q8" s="173">
        <v>11.351687358088281</v>
      </c>
      <c r="R8" s="173">
        <v>12.47537424513459</v>
      </c>
      <c r="S8" s="173">
        <v>12.316516558830317</v>
      </c>
      <c r="T8" s="173">
        <v>10.471900652917002</v>
      </c>
      <c r="U8" s="173">
        <v>10.761402850834896</v>
      </c>
      <c r="V8" s="173">
        <v>17.287050278272606</v>
      </c>
      <c r="W8" s="173">
        <v>19.135535439879455</v>
      </c>
      <c r="X8" s="173">
        <v>20.519816178616587</v>
      </c>
      <c r="Y8" s="173">
        <v>20.419307289136022</v>
      </c>
      <c r="Z8" s="173">
        <v>20.619399020308386</v>
      </c>
      <c r="AA8" s="173">
        <v>21.542118401611521</v>
      </c>
      <c r="AB8" s="173">
        <v>22.273068960705025</v>
      </c>
      <c r="AC8" s="173">
        <v>25.090526281274862</v>
      </c>
      <c r="AD8" s="173">
        <v>28.414241092253022</v>
      </c>
      <c r="AE8" s="173">
        <v>29.506200333195835</v>
      </c>
      <c r="AF8" s="173">
        <v>28.65200854770411</v>
      </c>
    </row>
    <row r="9" spans="1:32">
      <c r="A9" s="21">
        <v>615</v>
      </c>
      <c r="B9" s="21" t="s">
        <v>129</v>
      </c>
      <c r="C9" s="1033">
        <v>34.338461474864474</v>
      </c>
      <c r="D9" s="1033">
        <v>34.587250748557899</v>
      </c>
      <c r="E9" s="1033">
        <v>30.924856312472883</v>
      </c>
      <c r="F9" s="1033">
        <v>27.941806093081311</v>
      </c>
      <c r="G9" s="1033">
        <v>25.710016183179484</v>
      </c>
      <c r="H9" s="1033">
        <v>23.583932870711742</v>
      </c>
      <c r="I9" s="1033">
        <v>12.854757349960586</v>
      </c>
      <c r="J9" s="1033">
        <v>14.272474728046857</v>
      </c>
      <c r="K9" s="1033">
        <v>15.507867882429732</v>
      </c>
      <c r="L9" s="1033">
        <v>18.639263340070915</v>
      </c>
      <c r="M9" s="1033">
        <v>23.443685085253989</v>
      </c>
      <c r="N9" s="174">
        <v>29.117822168427605</v>
      </c>
      <c r="O9" s="174">
        <v>25.319594282024749</v>
      </c>
      <c r="P9" s="174">
        <v>21.783876997358551</v>
      </c>
      <c r="Q9" s="174">
        <v>22.530725245143746</v>
      </c>
      <c r="R9" s="174">
        <v>26.194775978228325</v>
      </c>
      <c r="S9" s="174">
        <v>29.760448325399651</v>
      </c>
      <c r="T9" s="174">
        <v>30.906311379597668</v>
      </c>
      <c r="U9" s="174">
        <v>22.578354009876914</v>
      </c>
      <c r="V9" s="174">
        <v>26.808874102801212</v>
      </c>
      <c r="W9" s="174">
        <v>41.175353009147422</v>
      </c>
      <c r="X9" s="174">
        <v>36.247991375728127</v>
      </c>
      <c r="Y9" s="174">
        <v>35.076149827274783</v>
      </c>
      <c r="Z9" s="174">
        <v>38.266469837478979</v>
      </c>
      <c r="AA9" s="174">
        <v>40.071884969672041</v>
      </c>
      <c r="AB9" s="174">
        <v>47.646352847046273</v>
      </c>
      <c r="AC9" s="174">
        <v>48.607847744360903</v>
      </c>
      <c r="AD9" s="174">
        <v>46.60949405426085</v>
      </c>
      <c r="AE9" s="174">
        <v>46.273657520601283</v>
      </c>
      <c r="AF9" s="174">
        <v>40.403616079890469</v>
      </c>
    </row>
    <row r="10" spans="1:32">
      <c r="A10" s="21">
        <v>540</v>
      </c>
      <c r="B10" s="21" t="s">
        <v>114</v>
      </c>
      <c r="C10" s="1034"/>
      <c r="D10" s="1034"/>
      <c r="E10" s="1034"/>
      <c r="F10" s="1034"/>
      <c r="G10" s="1034"/>
      <c r="H10" s="1034">
        <v>35.719735174745267</v>
      </c>
      <c r="I10" s="1034">
        <v>38.545068377573713</v>
      </c>
      <c r="J10" s="1034">
        <v>32.593491278881167</v>
      </c>
      <c r="K10" s="1034">
        <v>33.021926847415031</v>
      </c>
      <c r="L10" s="1034">
        <v>33.873063335383968</v>
      </c>
      <c r="M10" s="1034">
        <v>38.912521010441594</v>
      </c>
      <c r="N10" s="175">
        <v>30.263279312641838</v>
      </c>
      <c r="O10" s="175">
        <v>68.791333511147727</v>
      </c>
      <c r="P10" s="175">
        <v>53.901384801822836</v>
      </c>
      <c r="Q10" s="175">
        <v>85.357712558256708</v>
      </c>
      <c r="R10" s="175"/>
      <c r="S10" s="175">
        <v>82.406921774548209</v>
      </c>
      <c r="T10" s="175">
        <v>68.204512430406695</v>
      </c>
      <c r="U10" s="175">
        <v>56.873749355119195</v>
      </c>
      <c r="V10" s="175">
        <v>86.298040935236159</v>
      </c>
      <c r="W10" s="175">
        <v>89.624298823120867</v>
      </c>
      <c r="X10" s="175">
        <v>76.627443632869429</v>
      </c>
      <c r="Y10" s="175">
        <v>73.53428860225057</v>
      </c>
      <c r="Z10" s="175">
        <v>69.619599434395411</v>
      </c>
      <c r="AA10" s="175">
        <v>69.682048243510621</v>
      </c>
      <c r="AB10" s="175">
        <v>79.283470931145771</v>
      </c>
      <c r="AC10" s="175">
        <v>73.827069309937471</v>
      </c>
      <c r="AD10" s="175">
        <v>75.438208886829329</v>
      </c>
      <c r="AE10" s="175">
        <v>76.317408120454814</v>
      </c>
      <c r="AF10" s="175">
        <v>52.232992574847636</v>
      </c>
    </row>
    <row r="11" spans="1:32">
      <c r="A11" s="21">
        <v>160</v>
      </c>
      <c r="B11" s="21" t="s">
        <v>33</v>
      </c>
      <c r="C11" s="1036">
        <v>5.0619726809659591</v>
      </c>
      <c r="D11" s="1036">
        <v>6.9210494803612885</v>
      </c>
      <c r="E11" s="1036">
        <v>9.0904930785951255</v>
      </c>
      <c r="F11" s="1036">
        <v>9.1515206868207155</v>
      </c>
      <c r="G11" s="1036">
        <v>7.5898953117888022</v>
      </c>
      <c r="H11" s="1036">
        <v>11.736098020735156</v>
      </c>
      <c r="I11" s="1036">
        <v>8.1619775442954303</v>
      </c>
      <c r="J11" s="1036">
        <v>7.8732058134003076</v>
      </c>
      <c r="K11" s="1036">
        <v>9.5316129729340364</v>
      </c>
      <c r="L11" s="1036">
        <v>13.058408908564065</v>
      </c>
      <c r="M11" s="1036">
        <v>10.359536592526384</v>
      </c>
      <c r="N11" s="177">
        <v>7.6750433243384872</v>
      </c>
      <c r="O11" s="177">
        <v>6.5981874642789649</v>
      </c>
      <c r="P11" s="177">
        <v>6.9093516416007121</v>
      </c>
      <c r="Q11" s="177">
        <v>7.5218317600176361</v>
      </c>
      <c r="R11" s="177">
        <v>9.6488075826451638</v>
      </c>
      <c r="S11" s="177">
        <v>10.399127147117133</v>
      </c>
      <c r="T11" s="177">
        <v>10.528654402247469</v>
      </c>
      <c r="U11" s="177">
        <v>10.385004187136502</v>
      </c>
      <c r="V11" s="177">
        <v>9.7879884635956849</v>
      </c>
      <c r="W11" s="177">
        <v>10.88546512767476</v>
      </c>
      <c r="X11" s="177">
        <v>11.528611130792747</v>
      </c>
      <c r="Y11" s="177">
        <v>27.689675715619011</v>
      </c>
      <c r="Z11" s="177">
        <v>24.971194689467072</v>
      </c>
      <c r="AA11" s="177">
        <v>25.257466642432213</v>
      </c>
      <c r="AB11" s="177">
        <v>25.067932676685782</v>
      </c>
      <c r="AC11" s="177">
        <v>24.759446828231109</v>
      </c>
      <c r="AD11" s="177">
        <v>24.62654689417672</v>
      </c>
      <c r="AE11" s="177">
        <v>24.475413082874013</v>
      </c>
      <c r="AF11" s="177">
        <v>21.351173914160455</v>
      </c>
    </row>
    <row r="12" spans="1:32">
      <c r="A12" s="21">
        <v>371</v>
      </c>
      <c r="B12" s="21" t="s">
        <v>73</v>
      </c>
      <c r="C12" s="1037"/>
      <c r="D12" s="1037"/>
      <c r="E12" s="1037"/>
      <c r="F12" s="1037"/>
      <c r="G12" s="1037"/>
      <c r="H12" s="1037"/>
      <c r="I12" s="1037"/>
      <c r="J12" s="1037"/>
      <c r="K12" s="1037"/>
      <c r="L12" s="1037"/>
      <c r="M12" s="1037">
        <v>35.002981514609424</v>
      </c>
      <c r="N12" s="178">
        <v>40.74538837997239</v>
      </c>
      <c r="O12" s="178">
        <v>39.82075296711033</v>
      </c>
      <c r="P12" s="178">
        <v>47.218977187021565</v>
      </c>
      <c r="Q12" s="178">
        <v>39.328040133331676</v>
      </c>
      <c r="R12" s="178">
        <v>23.927921454075634</v>
      </c>
      <c r="S12" s="178">
        <v>23.240002799019035</v>
      </c>
      <c r="T12" s="178">
        <v>20.273269889836193</v>
      </c>
      <c r="U12" s="178">
        <v>19.003020506628545</v>
      </c>
      <c r="V12" s="178">
        <v>20.758259915000767</v>
      </c>
      <c r="W12" s="178">
        <v>23.375104388540599</v>
      </c>
      <c r="X12" s="178">
        <v>25.471237803144003</v>
      </c>
      <c r="Y12" s="178">
        <v>29.356550561747447</v>
      </c>
      <c r="Z12" s="178">
        <v>32.152645009268809</v>
      </c>
      <c r="AA12" s="178">
        <v>27.384698744523821</v>
      </c>
      <c r="AB12" s="178">
        <v>28.809220320169477</v>
      </c>
      <c r="AC12" s="178">
        <v>23.358985867651473</v>
      </c>
      <c r="AD12" s="178">
        <v>19.185643946810249</v>
      </c>
      <c r="AE12" s="178">
        <v>14.725685965757545</v>
      </c>
      <c r="AF12" s="178">
        <v>11.994934131752824</v>
      </c>
    </row>
    <row r="13" spans="1:32">
      <c r="A13" s="21">
        <v>900</v>
      </c>
      <c r="B13" s="21" t="s">
        <v>177</v>
      </c>
      <c r="C13" s="1038">
        <v>16.268621423504374</v>
      </c>
      <c r="D13" s="1038">
        <v>14.744538878488822</v>
      </c>
      <c r="E13" s="1038">
        <v>13.399234297153781</v>
      </c>
      <c r="F13" s="1038">
        <v>13.457144807953908</v>
      </c>
      <c r="G13" s="1038">
        <v>13.445346861837054</v>
      </c>
      <c r="H13" s="1038">
        <v>15.088548812664907</v>
      </c>
      <c r="I13" s="1038">
        <v>14.852946786191112</v>
      </c>
      <c r="J13" s="1038">
        <v>15.397712860036902</v>
      </c>
      <c r="K13" s="1038">
        <v>15.769004520059863</v>
      </c>
      <c r="L13" s="1038">
        <v>14.923416400058267</v>
      </c>
      <c r="M13" s="1038">
        <v>14.886094779517368</v>
      </c>
      <c r="N13" s="179">
        <v>15.758225918094046</v>
      </c>
      <c r="O13" s="179">
        <v>16.362544063882108</v>
      </c>
      <c r="P13" s="179">
        <v>17.154906745996399</v>
      </c>
      <c r="Q13" s="179">
        <v>17.648554340157499</v>
      </c>
      <c r="R13" s="179">
        <v>17.628180117450505</v>
      </c>
      <c r="S13" s="179">
        <v>18.697429632066161</v>
      </c>
      <c r="T13" s="179">
        <v>18.969888781604265</v>
      </c>
      <c r="U13" s="179">
        <v>19.463951825316052</v>
      </c>
      <c r="V13" s="179">
        <v>18.322774391957537</v>
      </c>
      <c r="W13" s="179">
        <v>19.346495608307084</v>
      </c>
      <c r="X13" s="179">
        <v>22.029259870021964</v>
      </c>
      <c r="Y13" s="179">
        <v>20.561272069167181</v>
      </c>
      <c r="Z13" s="179">
        <v>18.870880114774337</v>
      </c>
      <c r="AA13" s="179">
        <v>17.020423027787572</v>
      </c>
      <c r="AB13" s="179">
        <v>18.097906387979229</v>
      </c>
      <c r="AC13" s="179">
        <v>19.611965383243387</v>
      </c>
      <c r="AD13" s="179">
        <v>19.764470227530335</v>
      </c>
      <c r="AE13" s="179">
        <v>19.787180029617094</v>
      </c>
      <c r="AF13" s="179"/>
    </row>
    <row r="14" spans="1:32">
      <c r="A14" s="21">
        <v>305</v>
      </c>
      <c r="B14" s="21" t="s">
        <v>49</v>
      </c>
      <c r="C14" s="1039">
        <v>32.821626694236535</v>
      </c>
      <c r="D14" s="1039">
        <v>34.186455917610353</v>
      </c>
      <c r="E14" s="1039">
        <v>32.908568866485552</v>
      </c>
      <c r="F14" s="1039">
        <v>31.609595439311889</v>
      </c>
      <c r="G14" s="1039">
        <v>33.963484186820573</v>
      </c>
      <c r="H14" s="1039">
        <v>36.2203429093111</v>
      </c>
      <c r="I14" s="1039">
        <v>33.177179876648864</v>
      </c>
      <c r="J14" s="1039">
        <v>32.57475619310835</v>
      </c>
      <c r="K14" s="1039">
        <v>34.306590622478986</v>
      </c>
      <c r="L14" s="1039">
        <v>36.32580577992919</v>
      </c>
      <c r="M14" s="1039">
        <v>37.062028386751514</v>
      </c>
      <c r="N14" s="180">
        <v>35.900277815728003</v>
      </c>
      <c r="O14" s="180">
        <v>34.438234309401537</v>
      </c>
      <c r="P14" s="180">
        <v>32.708699719495542</v>
      </c>
      <c r="Q14" s="180">
        <v>33.448629308022127</v>
      </c>
      <c r="R14" s="180">
        <v>34.871024422569654</v>
      </c>
      <c r="S14" s="180">
        <v>35.570042365005605</v>
      </c>
      <c r="T14" s="180">
        <v>39.427918886648719</v>
      </c>
      <c r="U14" s="180">
        <v>41.118134684309886</v>
      </c>
      <c r="V14" s="180">
        <v>42.324792975424828</v>
      </c>
      <c r="W14" s="180">
        <v>46.419905230699342</v>
      </c>
      <c r="X14" s="180">
        <v>48.463579702837187</v>
      </c>
      <c r="Y14" s="180">
        <v>49.058680861852054</v>
      </c>
      <c r="Z14" s="180">
        <v>48.607212050009295</v>
      </c>
      <c r="AA14" s="180">
        <v>51.910062481134958</v>
      </c>
      <c r="AB14" s="180">
        <v>54.205516272772932</v>
      </c>
      <c r="AC14" s="180">
        <v>56.818871073655387</v>
      </c>
      <c r="AD14" s="180">
        <v>59.334944444615601</v>
      </c>
      <c r="AE14" s="180">
        <v>59.204151211507906</v>
      </c>
      <c r="AF14" s="180">
        <v>50.531516130690655</v>
      </c>
    </row>
    <row r="15" spans="1:32">
      <c r="A15" s="21">
        <v>373</v>
      </c>
      <c r="B15" s="21" t="s">
        <v>75</v>
      </c>
      <c r="C15" s="1040"/>
      <c r="D15" s="1040"/>
      <c r="E15" s="1040"/>
      <c r="F15" s="1040"/>
      <c r="G15" s="1040"/>
      <c r="H15" s="1040"/>
      <c r="I15" s="1040"/>
      <c r="J15" s="1040"/>
      <c r="K15" s="1040"/>
      <c r="L15" s="1040"/>
      <c r="M15" s="1040">
        <v>43.860845839017735</v>
      </c>
      <c r="N15" s="181">
        <v>45.654940119760482</v>
      </c>
      <c r="O15" s="181">
        <v>86.204020663471709</v>
      </c>
      <c r="P15" s="181">
        <v>57.432423829592182</v>
      </c>
      <c r="Q15" s="181">
        <v>24.722599585591365</v>
      </c>
      <c r="R15" s="181">
        <v>27.900866553405578</v>
      </c>
      <c r="S15" s="181">
        <v>29.515703445194109</v>
      </c>
      <c r="T15" s="181">
        <v>29.021880295603935</v>
      </c>
      <c r="U15" s="181">
        <v>22.70231780058149</v>
      </c>
      <c r="V15" s="181">
        <v>27.983578970511893</v>
      </c>
      <c r="W15" s="181">
        <v>39.041359095884701</v>
      </c>
      <c r="X15" s="181">
        <v>40.923041785499272</v>
      </c>
      <c r="Y15" s="181">
        <v>42.768523231854111</v>
      </c>
      <c r="Z15" s="181">
        <v>42.010874913594058</v>
      </c>
      <c r="AA15" s="181">
        <v>48.787479814150728</v>
      </c>
      <c r="AB15" s="181">
        <v>62.936430137752041</v>
      </c>
      <c r="AC15" s="181">
        <v>66.506230554090067</v>
      </c>
      <c r="AD15" s="181">
        <v>68.130940352779376</v>
      </c>
      <c r="AE15" s="181">
        <v>69.466451846214312</v>
      </c>
      <c r="AF15" s="181">
        <v>52.494800883626425</v>
      </c>
    </row>
    <row r="16" spans="1:32">
      <c r="A16" s="21">
        <v>692</v>
      </c>
      <c r="B16" s="21" t="s">
        <v>144</v>
      </c>
      <c r="C16" s="1042">
        <v>124.10845416757665</v>
      </c>
      <c r="D16" s="1042">
        <v>131.12967973299351</v>
      </c>
      <c r="E16" s="1042">
        <v>118.98162124306975</v>
      </c>
      <c r="F16" s="1042">
        <v>96.681852463685559</v>
      </c>
      <c r="G16" s="1042">
        <v>96.486210342225903</v>
      </c>
      <c r="H16" s="1042">
        <v>101.76972044524722</v>
      </c>
      <c r="I16" s="1042">
        <v>98.710464371120381</v>
      </c>
      <c r="J16" s="1042">
        <v>102.36788972208322</v>
      </c>
      <c r="K16" s="1042">
        <v>95.337980785012135</v>
      </c>
      <c r="L16" s="1042">
        <v>98.643897875263491</v>
      </c>
      <c r="M16" s="1042">
        <v>115.55583098591549</v>
      </c>
      <c r="N16" s="183">
        <v>85.003166630236407</v>
      </c>
      <c r="O16" s="183">
        <v>84.38199373040753</v>
      </c>
      <c r="P16" s="183">
        <v>83.874598621176872</v>
      </c>
      <c r="Q16" s="183">
        <v>81.193270088674268</v>
      </c>
      <c r="R16" s="183">
        <v>81.990543806217516</v>
      </c>
      <c r="S16" s="183">
        <v>87.913525711414579</v>
      </c>
      <c r="T16" s="183">
        <v>79.076780802006056</v>
      </c>
      <c r="U16" s="183">
        <v>64.603670694887327</v>
      </c>
      <c r="V16" s="183">
        <v>78.867245459431828</v>
      </c>
      <c r="W16" s="183">
        <v>89.435747410380145</v>
      </c>
      <c r="X16" s="183">
        <v>82.3225546759694</v>
      </c>
      <c r="Y16" s="183">
        <v>81.923823842636097</v>
      </c>
      <c r="Z16" s="183">
        <v>81.877216916780355</v>
      </c>
      <c r="AA16" s="183">
        <v>92.001420286424434</v>
      </c>
      <c r="AB16" s="183">
        <v>99.531703847141813</v>
      </c>
      <c r="AC16" s="183">
        <v>98.787177293543365</v>
      </c>
      <c r="AD16" s="183">
        <v>93.729933628000055</v>
      </c>
      <c r="AE16" s="183">
        <v>96.848969084683205</v>
      </c>
      <c r="AF16" s="183"/>
    </row>
    <row r="17" spans="1:32">
      <c r="A17" s="21">
        <v>53</v>
      </c>
      <c r="B17" s="21" t="s">
        <v>8</v>
      </c>
      <c r="C17" s="1044">
        <v>70.131744384765625</v>
      </c>
      <c r="D17" s="1044">
        <v>59.744827270507813</v>
      </c>
      <c r="E17" s="1044">
        <v>63.829147338867187</v>
      </c>
      <c r="F17" s="1044">
        <v>70.5130615234375</v>
      </c>
      <c r="G17" s="1044">
        <v>71.929824829101563</v>
      </c>
      <c r="H17" s="1044">
        <v>67.749702453613281</v>
      </c>
      <c r="I17" s="1044">
        <v>56.534389495849609</v>
      </c>
      <c r="J17" s="1044">
        <v>45.993064880371094</v>
      </c>
      <c r="K17" s="1044">
        <v>48.712570190429688</v>
      </c>
      <c r="L17" s="1044">
        <v>50.304924011230469</v>
      </c>
      <c r="M17" s="1044">
        <v>49.104701995849609</v>
      </c>
      <c r="N17" s="185">
        <v>47.447986602783203</v>
      </c>
      <c r="O17" s="185">
        <v>55.240795135498047</v>
      </c>
      <c r="P17" s="185">
        <v>57.740081787109375</v>
      </c>
      <c r="Q17" s="185">
        <v>57.787757327570546</v>
      </c>
      <c r="R17" s="185">
        <v>61.968812679109455</v>
      </c>
      <c r="S17" s="185">
        <v>60.859536606742481</v>
      </c>
      <c r="T17" s="185">
        <v>56.625467862552483</v>
      </c>
      <c r="U17" s="185">
        <v>53.029981034963882</v>
      </c>
      <c r="V17" s="185">
        <v>51.282047051155658</v>
      </c>
      <c r="W17" s="185">
        <v>50.46993609529401</v>
      </c>
      <c r="X17" s="185">
        <v>51.206114962763102</v>
      </c>
      <c r="Y17" s="185">
        <v>50.862123417018736</v>
      </c>
      <c r="Z17" s="185">
        <v>51.09504483827385</v>
      </c>
      <c r="AA17" s="185">
        <v>52.247542492917844</v>
      </c>
      <c r="AB17" s="185">
        <v>59.383489018275867</v>
      </c>
      <c r="AC17" s="185">
        <v>60.131728499402534</v>
      </c>
      <c r="AD17" s="185">
        <v>59.458385615209295</v>
      </c>
      <c r="AE17" s="185">
        <v>60.049046321525893</v>
      </c>
      <c r="AF17" s="185">
        <v>60.620305980528514</v>
      </c>
    </row>
    <row r="18" spans="1:32">
      <c r="A18" s="21">
        <v>211</v>
      </c>
      <c r="B18" s="21" t="s">
        <v>38</v>
      </c>
      <c r="C18" s="1046">
        <v>54.560938014231787</v>
      </c>
      <c r="D18" s="1046">
        <v>58.857074211446715</v>
      </c>
      <c r="E18" s="1046">
        <v>63.255052303922511</v>
      </c>
      <c r="F18" s="1046">
        <v>65.750615878937012</v>
      </c>
      <c r="G18" s="1046">
        <v>70.123485125600482</v>
      </c>
      <c r="H18" s="1046">
        <v>67.991851723429704</v>
      </c>
      <c r="I18" s="1046">
        <v>62.362061804389903</v>
      </c>
      <c r="J18" s="1046">
        <v>60.821288528278473</v>
      </c>
      <c r="K18" s="1046">
        <v>64.675512078797411</v>
      </c>
      <c r="L18" s="1046">
        <v>69.202906349682138</v>
      </c>
      <c r="M18" s="1046">
        <v>67.076680022088041</v>
      </c>
      <c r="N18" s="187">
        <v>65.569928516564758</v>
      </c>
      <c r="O18" s="187">
        <v>64.023235297908442</v>
      </c>
      <c r="P18" s="187">
        <v>61.082544508196065</v>
      </c>
      <c r="Q18" s="187">
        <v>63.605218821272246</v>
      </c>
      <c r="R18" s="187">
        <v>65.444423576096426</v>
      </c>
      <c r="S18" s="187">
        <v>65.709690390028143</v>
      </c>
      <c r="T18" s="187">
        <v>69.882279545392905</v>
      </c>
      <c r="U18" s="187">
        <v>69.792764160390092</v>
      </c>
      <c r="V18" s="187">
        <v>70.048078333731539</v>
      </c>
      <c r="W18" s="187">
        <v>78.2424588447997</v>
      </c>
      <c r="X18" s="187">
        <v>77.960783709088659</v>
      </c>
      <c r="Y18" s="187">
        <v>76.957458547059531</v>
      </c>
      <c r="Z18" s="187">
        <v>74.421506187526305</v>
      </c>
      <c r="AA18" s="187">
        <v>76.70798590217484</v>
      </c>
      <c r="AB18" s="187">
        <v>80.188215093529692</v>
      </c>
      <c r="AC18" s="187">
        <v>82.31714600031431</v>
      </c>
      <c r="AD18" s="187">
        <v>83.392870465702728</v>
      </c>
      <c r="AE18" s="187">
        <v>85.692712590505664</v>
      </c>
      <c r="AF18" s="187">
        <v>72.963362640861888</v>
      </c>
    </row>
    <row r="19" spans="1:32">
      <c r="A19" s="21">
        <v>434</v>
      </c>
      <c r="B19" s="21" t="s">
        <v>88</v>
      </c>
      <c r="C19" s="1048">
        <v>15.816512887140386</v>
      </c>
      <c r="D19" s="1048">
        <v>15.930500456488797</v>
      </c>
      <c r="E19" s="1048">
        <v>17.771035840845681</v>
      </c>
      <c r="F19" s="1048">
        <v>13.764289191497875</v>
      </c>
      <c r="G19" s="1048">
        <v>19.579375323363717</v>
      </c>
      <c r="H19" s="1048">
        <v>23.652618346493888</v>
      </c>
      <c r="I19" s="1048">
        <v>16.675920952851193</v>
      </c>
      <c r="J19" s="1048">
        <v>15.267528129131442</v>
      </c>
      <c r="K19" s="1048">
        <v>13.803739207445931</v>
      </c>
      <c r="L19" s="1048">
        <v>13.495428972844326</v>
      </c>
      <c r="M19" s="1048">
        <v>14.28997439387509</v>
      </c>
      <c r="N19" s="189">
        <v>15.549605413068493</v>
      </c>
      <c r="O19" s="189">
        <v>14.827785114976013</v>
      </c>
      <c r="P19" s="189">
        <v>13.827941245147946</v>
      </c>
      <c r="Q19" s="189">
        <v>20.181213767557356</v>
      </c>
      <c r="R19" s="189">
        <v>20.153422962114913</v>
      </c>
      <c r="S19" s="189">
        <v>15.789864250558297</v>
      </c>
      <c r="T19" s="189">
        <v>16.078396930652513</v>
      </c>
      <c r="U19" s="189">
        <v>17.090434716570872</v>
      </c>
      <c r="V19" s="189">
        <v>16.141601766007721</v>
      </c>
      <c r="W19" s="189">
        <v>15.180017847476737</v>
      </c>
      <c r="X19" s="189">
        <v>15.184509039959416</v>
      </c>
      <c r="Y19" s="189">
        <v>13.543210507487096</v>
      </c>
      <c r="Z19" s="189">
        <v>13.680545480922676</v>
      </c>
      <c r="AA19" s="189">
        <v>13.319614629127303</v>
      </c>
      <c r="AB19" s="189">
        <v>13.464514702630998</v>
      </c>
      <c r="AC19" s="189">
        <v>11.353905808223605</v>
      </c>
      <c r="AD19" s="189">
        <v>16.22963771114706</v>
      </c>
      <c r="AE19" s="189">
        <v>15.240927621466282</v>
      </c>
      <c r="AF19" s="189">
        <v>13.847965125529004</v>
      </c>
    </row>
    <row r="20" spans="1:32">
      <c r="A20" s="21">
        <v>439</v>
      </c>
      <c r="B20" s="21" t="s">
        <v>93</v>
      </c>
      <c r="C20" s="1055">
        <v>8.9505210123766812</v>
      </c>
      <c r="D20" s="1055">
        <v>9.276410611608803</v>
      </c>
      <c r="E20" s="1055">
        <v>8.1957161306515705</v>
      </c>
      <c r="F20" s="1055">
        <v>7.8841493918854297</v>
      </c>
      <c r="G20" s="1055">
        <v>10.96091362662796</v>
      </c>
      <c r="H20" s="1055">
        <v>9.9214646895303016</v>
      </c>
      <c r="I20" s="1055">
        <v>8.9905631392275946</v>
      </c>
      <c r="J20" s="1055">
        <v>11.358816803565372</v>
      </c>
      <c r="K20" s="1055">
        <v>10.998700185518365</v>
      </c>
      <c r="L20" s="1055">
        <v>8.7488625961123478</v>
      </c>
      <c r="M20" s="1055">
        <v>10.966691412853322</v>
      </c>
      <c r="N20" s="197">
        <v>10.447548444818834</v>
      </c>
      <c r="O20" s="197">
        <v>8.8464803670592573</v>
      </c>
      <c r="P20" s="197">
        <v>8.9515432794222054</v>
      </c>
      <c r="Q20" s="197">
        <v>14.201621144823529</v>
      </c>
      <c r="R20" s="197">
        <v>14.140556536916273</v>
      </c>
      <c r="S20" s="197">
        <v>10.563605207431371</v>
      </c>
      <c r="T20" s="197">
        <v>10.812530998906563</v>
      </c>
      <c r="U20" s="197">
        <v>12.808103022662943</v>
      </c>
      <c r="V20" s="197">
        <v>9.5183680675087601</v>
      </c>
      <c r="W20" s="197">
        <v>9.0768347807178298</v>
      </c>
      <c r="X20" s="197">
        <v>9.243405093765066</v>
      </c>
      <c r="Y20" s="197">
        <v>8.8158035318924792</v>
      </c>
      <c r="Z20" s="197">
        <v>8.7943417592595434</v>
      </c>
      <c r="AA20" s="197">
        <v>10.739333918811266</v>
      </c>
      <c r="AB20" s="197">
        <v>9.9853841240743328</v>
      </c>
      <c r="AC20" s="197">
        <v>11.52842892109885</v>
      </c>
      <c r="AD20" s="197"/>
      <c r="AE20" s="197"/>
      <c r="AF20" s="197"/>
    </row>
    <row r="21" spans="1:32">
      <c r="A21" s="21">
        <v>31</v>
      </c>
      <c r="B21" s="21" t="s">
        <v>2</v>
      </c>
      <c r="C21" s="1041">
        <v>70.38118943473232</v>
      </c>
      <c r="D21" s="1041">
        <v>67.381704981573478</v>
      </c>
      <c r="E21" s="1041">
        <v>65.785972942310636</v>
      </c>
      <c r="F21" s="1041">
        <v>66.568561403508781</v>
      </c>
      <c r="G21" s="1041">
        <v>63.588261802545496</v>
      </c>
      <c r="H21" s="1041">
        <v>64.79079856074317</v>
      </c>
      <c r="I21" s="1041">
        <v>63.818000097947824</v>
      </c>
      <c r="J21" s="1041">
        <v>61.322774889209718</v>
      </c>
      <c r="K21" s="1041"/>
      <c r="L21" s="1041">
        <v>53.831482691051605</v>
      </c>
      <c r="M21" s="1041">
        <v>54.160770688566018</v>
      </c>
      <c r="N21" s="182">
        <v>50.95109219712262</v>
      </c>
      <c r="O21" s="182">
        <v>50.247024766806049</v>
      </c>
      <c r="P21" s="182">
        <v>51.966688227684344</v>
      </c>
      <c r="Q21" s="182">
        <v>51.021478981282598</v>
      </c>
      <c r="R21" s="182">
        <v>49.549139690871975</v>
      </c>
      <c r="S21" s="182">
        <v>48.037683568855641</v>
      </c>
      <c r="T21" s="182">
        <v>42.572580863807374</v>
      </c>
      <c r="U21" s="182">
        <v>38.97504953538575</v>
      </c>
      <c r="V21" s="182">
        <v>42.232296846689643</v>
      </c>
      <c r="W21" s="182">
        <v>43.291333794692122</v>
      </c>
      <c r="X21" s="182">
        <v>38.866570934423727</v>
      </c>
      <c r="Y21" s="182">
        <v>42.444827022937318</v>
      </c>
      <c r="Z21" s="182">
        <v>41.712109522522766</v>
      </c>
      <c r="AA21" s="182">
        <v>44.921793352069187</v>
      </c>
      <c r="AB21" s="182">
        <v>45.80418245571061</v>
      </c>
      <c r="AC21" s="182">
        <v>43.707188912737351</v>
      </c>
      <c r="AD21" s="182">
        <v>45.319253489648112</v>
      </c>
      <c r="AE21" s="182"/>
      <c r="AF21" s="182"/>
    </row>
    <row r="22" spans="1:32">
      <c r="A22" s="21">
        <v>760</v>
      </c>
      <c r="B22" s="21" t="s">
        <v>161</v>
      </c>
      <c r="C22" s="1049"/>
      <c r="D22" s="1049">
        <v>16.469330094923421</v>
      </c>
      <c r="E22" s="1049">
        <v>14.133370343988231</v>
      </c>
      <c r="F22" s="1049">
        <v>12.820679772788962</v>
      </c>
      <c r="G22" s="1049">
        <v>13.569377446490497</v>
      </c>
      <c r="H22" s="1049">
        <v>15.465114959175988</v>
      </c>
      <c r="I22" s="1049">
        <v>18.812231099329672</v>
      </c>
      <c r="J22" s="1049">
        <v>26.079025352383827</v>
      </c>
      <c r="K22" s="1049">
        <v>30.436669816565811</v>
      </c>
      <c r="L22" s="1049">
        <v>29.610313302661918</v>
      </c>
      <c r="M22" s="1049">
        <v>28.595002757852178</v>
      </c>
      <c r="N22" s="190">
        <v>33.014204334395494</v>
      </c>
      <c r="O22" s="190">
        <v>33.661338122214943</v>
      </c>
      <c r="P22" s="190">
        <v>32.675791227380365</v>
      </c>
      <c r="Q22" s="190">
        <v>31.577262646446513</v>
      </c>
      <c r="R22" s="190">
        <v>39.954193113659336</v>
      </c>
      <c r="S22" s="190">
        <v>37.310321850679003</v>
      </c>
      <c r="T22" s="190">
        <v>38.323756812261493</v>
      </c>
      <c r="U22" s="190">
        <v>35.076658495519993</v>
      </c>
      <c r="V22" s="190">
        <v>32.866799216397105</v>
      </c>
      <c r="W22" s="190">
        <v>30.498629709249229</v>
      </c>
      <c r="X22" s="190">
        <v>28.428062183872765</v>
      </c>
      <c r="Y22" s="190">
        <v>26.382861841149964</v>
      </c>
      <c r="Z22" s="190">
        <v>24.761774415169636</v>
      </c>
      <c r="AA22" s="190">
        <v>28.196293876870588</v>
      </c>
      <c r="AB22" s="190">
        <v>34.029448481325417</v>
      </c>
      <c r="AC22" s="190">
        <v>44.619315615724162</v>
      </c>
      <c r="AD22" s="190">
        <v>49.580853717681663</v>
      </c>
      <c r="AE22" s="190">
        <v>56.7565865251755</v>
      </c>
      <c r="AF22" s="190">
        <v>57.989329139230016</v>
      </c>
    </row>
    <row r="23" spans="1:32">
      <c r="A23" s="21">
        <v>370</v>
      </c>
      <c r="B23" s="21" t="s">
        <v>72</v>
      </c>
      <c r="C23" s="1045"/>
      <c r="D23" s="1045"/>
      <c r="E23" s="1045"/>
      <c r="F23" s="1045"/>
      <c r="G23" s="1045"/>
      <c r="H23" s="1045"/>
      <c r="I23" s="1045"/>
      <c r="J23" s="1045"/>
      <c r="K23" s="1045"/>
      <c r="L23" s="1045"/>
      <c r="M23" s="1045">
        <v>45.958429561200923</v>
      </c>
      <c r="N23" s="186">
        <v>36.854190585533871</v>
      </c>
      <c r="O23" s="186">
        <v>59.286100594916171</v>
      </c>
      <c r="P23" s="186">
        <v>67.636909836398331</v>
      </c>
      <c r="Q23" s="186">
        <v>71.269923341501254</v>
      </c>
      <c r="R23" s="186">
        <v>49.665328419654934</v>
      </c>
      <c r="S23" s="186">
        <v>46.349963928123138</v>
      </c>
      <c r="T23" s="186">
        <v>59.859864280493888</v>
      </c>
      <c r="U23" s="186">
        <v>59.051135131239832</v>
      </c>
      <c r="V23" s="186">
        <v>59.203357153387095</v>
      </c>
      <c r="W23" s="186">
        <v>69.210821344894796</v>
      </c>
      <c r="X23" s="186">
        <v>66.747606736077145</v>
      </c>
      <c r="Y23" s="186">
        <v>63.627515944036148</v>
      </c>
      <c r="Z23" s="186">
        <v>65.156379906358026</v>
      </c>
      <c r="AA23" s="186">
        <v>67.886333358670825</v>
      </c>
      <c r="AB23" s="186">
        <v>59.797808723609933</v>
      </c>
      <c r="AC23" s="186">
        <v>60.061311769084234</v>
      </c>
      <c r="AD23" s="186">
        <v>60.943052715321208</v>
      </c>
      <c r="AE23" s="186">
        <v>60.937755218397605</v>
      </c>
      <c r="AF23" s="186">
        <v>50.74486547973607</v>
      </c>
    </row>
    <row r="24" spans="1:32">
      <c r="A24" s="21">
        <v>80</v>
      </c>
      <c r="B24" s="21" t="s">
        <v>16</v>
      </c>
      <c r="C24" s="1047">
        <v>55.378690629011551</v>
      </c>
      <c r="D24" s="1047">
        <v>53.395541731467077</v>
      </c>
      <c r="E24" s="1047">
        <v>47.977684797768475</v>
      </c>
      <c r="F24" s="1047">
        <v>49.074074074074076</v>
      </c>
      <c r="G24" s="1047">
        <v>62.446657183499291</v>
      </c>
      <c r="H24" s="1047">
        <v>48.481950753048054</v>
      </c>
      <c r="I24" s="1047">
        <v>55.518981786262891</v>
      </c>
      <c r="J24" s="1047">
        <v>60.459226297784774</v>
      </c>
      <c r="K24" s="1047">
        <v>62.019688790092097</v>
      </c>
      <c r="L24" s="1047">
        <v>59.741151161067272</v>
      </c>
      <c r="M24" s="1047">
        <v>62.220072619588819</v>
      </c>
      <c r="N24" s="188">
        <v>54.270013884556626</v>
      </c>
      <c r="O24" s="188">
        <v>49.728641189769732</v>
      </c>
      <c r="P24" s="188">
        <v>46.699021736160752</v>
      </c>
      <c r="Q24" s="188">
        <v>49.840788737840654</v>
      </c>
      <c r="R24" s="188">
        <v>47.969413786629005</v>
      </c>
      <c r="S24" s="188">
        <v>50.012192769556471</v>
      </c>
      <c r="T24" s="188">
        <v>52.78866824338342</v>
      </c>
      <c r="U24" s="188">
        <v>52.590629398385516</v>
      </c>
      <c r="V24" s="188">
        <v>55.066344768229037</v>
      </c>
      <c r="W24" s="188">
        <v>52.972223139837517</v>
      </c>
      <c r="X24" s="188">
        <v>50.867113785489401</v>
      </c>
      <c r="Y24" s="188">
        <v>52.555385907607899</v>
      </c>
      <c r="Z24" s="188">
        <v>53.302352986092714</v>
      </c>
      <c r="AA24" s="188">
        <v>50.645135391943299</v>
      </c>
      <c r="AB24" s="188">
        <v>54.627382494565268</v>
      </c>
      <c r="AC24" s="188">
        <v>61.352475264304665</v>
      </c>
      <c r="AD24" s="188">
        <v>59.879526093952585</v>
      </c>
      <c r="AE24" s="188">
        <v>62.085081327739758</v>
      </c>
      <c r="AF24" s="188"/>
    </row>
    <row r="25" spans="1:32">
      <c r="A25" s="21">
        <v>771</v>
      </c>
      <c r="B25" s="21" t="s">
        <v>163</v>
      </c>
      <c r="C25" s="1043">
        <v>5.494283787297344</v>
      </c>
      <c r="D25" s="1043">
        <v>5.2701343531924403</v>
      </c>
      <c r="E25" s="1043">
        <v>5.2087134405926907</v>
      </c>
      <c r="F25" s="1043">
        <v>5.7422338038931393</v>
      </c>
      <c r="G25" s="1043">
        <v>3.2799972232827739</v>
      </c>
      <c r="H25" s="1043">
        <v>5.5501971726720098</v>
      </c>
      <c r="I25" s="1043">
        <v>5.3511113639991716</v>
      </c>
      <c r="J25" s="1043">
        <v>5.1650998816838003</v>
      </c>
      <c r="K25" s="1043">
        <v>5.6273744294806169</v>
      </c>
      <c r="L25" s="1043">
        <v>5.7472619520816348</v>
      </c>
      <c r="M25" s="1043">
        <v>6.1220692328494577</v>
      </c>
      <c r="N25" s="184">
        <v>6.6626202589686416</v>
      </c>
      <c r="O25" s="184">
        <v>7.5866793562097854</v>
      </c>
      <c r="P25" s="184">
        <v>9.0172663244045754</v>
      </c>
      <c r="Q25" s="184">
        <v>9.0015438437925628</v>
      </c>
      <c r="R25" s="184">
        <v>10.864632807449878</v>
      </c>
      <c r="S25" s="184">
        <v>11.084328702977903</v>
      </c>
      <c r="T25" s="184">
        <v>11.993440689172079</v>
      </c>
      <c r="U25" s="184">
        <v>13.328683183058615</v>
      </c>
      <c r="V25" s="184">
        <v>13.193665278239905</v>
      </c>
      <c r="W25" s="184">
        <v>13.980019866250784</v>
      </c>
      <c r="X25" s="184">
        <v>15.381799938788324</v>
      </c>
      <c r="Y25" s="184">
        <v>14.27597263553208</v>
      </c>
      <c r="Z25" s="184">
        <v>14.213815219304271</v>
      </c>
      <c r="AA25" s="184">
        <v>15.464852866492818</v>
      </c>
      <c r="AB25" s="184">
        <v>16.581316241667949</v>
      </c>
      <c r="AC25" s="184">
        <v>18.973660415863357</v>
      </c>
      <c r="AD25" s="184">
        <v>19.776691728209357</v>
      </c>
      <c r="AE25" s="184">
        <v>20.339601306212423</v>
      </c>
      <c r="AF25" s="184">
        <v>19.4276240282943</v>
      </c>
    </row>
    <row r="26" spans="1:32">
      <c r="A26" s="21">
        <v>145</v>
      </c>
      <c r="B26" s="21" t="s">
        <v>30</v>
      </c>
      <c r="C26" s="1050">
        <v>24.52751984341009</v>
      </c>
      <c r="D26" s="1050">
        <v>23.266023901629058</v>
      </c>
      <c r="E26" s="1050">
        <v>29.064346938231566</v>
      </c>
      <c r="F26" s="1050">
        <v>28.316780042060824</v>
      </c>
      <c r="G26" s="1050">
        <v>23.654863848190232</v>
      </c>
      <c r="H26" s="1050">
        <v>19.049930815909814</v>
      </c>
      <c r="I26" s="1050">
        <v>21.32961827053764</v>
      </c>
      <c r="J26" s="1050">
        <v>19.740952925936593</v>
      </c>
      <c r="K26" s="1050">
        <v>18.767446915091696</v>
      </c>
      <c r="L26" s="1050">
        <v>22.498216048191594</v>
      </c>
      <c r="M26" s="1050">
        <v>22.776981353660926</v>
      </c>
      <c r="N26" s="191">
        <v>21.479346640313334</v>
      </c>
      <c r="O26" s="191">
        <v>20.045761180583607</v>
      </c>
      <c r="P26" s="191">
        <v>19.080765301009826</v>
      </c>
      <c r="Q26" s="191">
        <v>21.663311741712</v>
      </c>
      <c r="R26" s="191">
        <v>22.551421968806686</v>
      </c>
      <c r="S26" s="191">
        <v>22.581870089675785</v>
      </c>
      <c r="T26" s="191">
        <v>21.110602867562839</v>
      </c>
      <c r="U26" s="191">
        <v>19.698684954424717</v>
      </c>
      <c r="V26" s="191">
        <v>16.880899347158163</v>
      </c>
      <c r="W26" s="191">
        <v>18.274744972175625</v>
      </c>
      <c r="X26" s="191">
        <v>19.972149329509346</v>
      </c>
      <c r="Y26" s="191">
        <v>21.634455135073193</v>
      </c>
      <c r="Z26" s="191">
        <v>25.600734418174802</v>
      </c>
      <c r="AA26" s="191">
        <v>31.138390496025359</v>
      </c>
      <c r="AB26" s="191">
        <v>35.548142945898093</v>
      </c>
      <c r="AC26" s="191">
        <v>41.414104754087802</v>
      </c>
      <c r="AD26" s="191">
        <v>41.795656749927197</v>
      </c>
      <c r="AE26" s="191">
        <v>44.906556002234012</v>
      </c>
      <c r="AF26" s="191">
        <v>35.722624834782692</v>
      </c>
    </row>
    <row r="27" spans="1:32">
      <c r="A27" s="21">
        <v>346</v>
      </c>
      <c r="B27" s="21" t="s">
        <v>60</v>
      </c>
      <c r="N27" s="192"/>
      <c r="O27" s="192"/>
      <c r="P27" s="192"/>
      <c r="Q27" s="192">
        <v>15.448289467413687</v>
      </c>
      <c r="R27" s="192">
        <v>20.41173859794668</v>
      </c>
      <c r="S27" s="192">
        <v>23.617705652263112</v>
      </c>
      <c r="T27" s="192">
        <v>27.833634646235598</v>
      </c>
      <c r="U27" s="192">
        <v>27.303197280402991</v>
      </c>
      <c r="V27" s="192">
        <v>27.643966301272293</v>
      </c>
      <c r="W27" s="192">
        <v>28.690339619322103</v>
      </c>
      <c r="X27" s="192">
        <v>28.392525263246842</v>
      </c>
      <c r="Y27" s="192">
        <v>24.34741468367379</v>
      </c>
      <c r="Z27" s="192">
        <v>30.289354579464405</v>
      </c>
      <c r="AA27" s="192">
        <v>32.243327519639486</v>
      </c>
      <c r="AB27" s="192">
        <v>32.652545877432246</v>
      </c>
      <c r="AC27" s="192">
        <v>36.924921366733464</v>
      </c>
      <c r="AD27" s="192">
        <v>38.865414769336823</v>
      </c>
      <c r="AE27" s="192">
        <v>36.740362470006474</v>
      </c>
      <c r="AF27" s="192">
        <v>33.442341940285068</v>
      </c>
    </row>
    <row r="28" spans="1:32">
      <c r="A28" s="21">
        <v>571</v>
      </c>
      <c r="B28" s="21" t="s">
        <v>122</v>
      </c>
      <c r="C28" s="1051">
        <v>53.059244436359222</v>
      </c>
      <c r="D28" s="1051">
        <v>49.705063995548137</v>
      </c>
      <c r="E28" s="1051">
        <v>54.56198268025453</v>
      </c>
      <c r="F28" s="1051">
        <v>62.083446747287788</v>
      </c>
      <c r="G28" s="1051">
        <v>60.811272151702298</v>
      </c>
      <c r="H28" s="1051">
        <v>66.291048822461647</v>
      </c>
      <c r="I28" s="1051">
        <v>68.330849478390462</v>
      </c>
      <c r="J28" s="1051">
        <v>75.129565085619035</v>
      </c>
      <c r="K28" s="1051">
        <v>70.521940526903521</v>
      </c>
      <c r="L28" s="1051">
        <v>59.224597854688554</v>
      </c>
      <c r="M28" s="1051">
        <v>55.055407062893934</v>
      </c>
      <c r="N28" s="193">
        <v>53.029514161151717</v>
      </c>
      <c r="O28" s="193">
        <v>48.179563095142846</v>
      </c>
      <c r="P28" s="193">
        <v>47.095353358993691</v>
      </c>
      <c r="Q28" s="193">
        <v>49.278208209030566</v>
      </c>
      <c r="R28" s="193">
        <v>50.945322902865485</v>
      </c>
      <c r="S28" s="193">
        <v>54.19141714237675</v>
      </c>
      <c r="T28" s="193">
        <v>56.248574676285621</v>
      </c>
      <c r="U28" s="193">
        <v>48.881090111225447</v>
      </c>
      <c r="V28" s="193">
        <v>51.601269381873436</v>
      </c>
      <c r="W28" s="193">
        <v>53.264874054958554</v>
      </c>
      <c r="X28" s="193">
        <v>44.269822263281519</v>
      </c>
      <c r="Y28" s="193">
        <v>46.569261439493246</v>
      </c>
      <c r="Z28" s="193">
        <v>45.353386154711899</v>
      </c>
      <c r="AA28" s="193">
        <v>44.226180122271678</v>
      </c>
      <c r="AB28" s="193">
        <v>51.249920500410781</v>
      </c>
      <c r="AC28" s="193">
        <v>47.01641112196571</v>
      </c>
      <c r="AD28" s="193">
        <v>47.450184103656007</v>
      </c>
      <c r="AE28" s="193">
        <v>41.786639753416438</v>
      </c>
      <c r="AF28" s="193">
        <v>33.589200730615104</v>
      </c>
    </row>
    <row r="29" spans="1:32">
      <c r="A29" s="21">
        <v>140</v>
      </c>
      <c r="B29" s="21" t="s">
        <v>29</v>
      </c>
      <c r="C29" s="1052">
        <v>9.0527298248066348</v>
      </c>
      <c r="D29" s="1052">
        <v>9.4203543082206345</v>
      </c>
      <c r="E29" s="1052">
        <v>7.609682701482348</v>
      </c>
      <c r="F29" s="1052">
        <v>11.421821592527786</v>
      </c>
      <c r="G29" s="1052">
        <v>13.547584918513699</v>
      </c>
      <c r="H29" s="1052">
        <v>12.247959666262243</v>
      </c>
      <c r="I29" s="1052">
        <v>8.816588678058018</v>
      </c>
      <c r="J29" s="1052">
        <v>9.4599432176949882</v>
      </c>
      <c r="K29" s="1052">
        <v>10.888216713692767</v>
      </c>
      <c r="L29" s="1052">
        <v>8.9296096801442673</v>
      </c>
      <c r="M29" s="1052">
        <v>8.1999900154081438</v>
      </c>
      <c r="N29" s="194">
        <v>8.6769731999832533</v>
      </c>
      <c r="O29" s="194">
        <v>10.868249802790075</v>
      </c>
      <c r="P29" s="194">
        <v>10.503270250229615</v>
      </c>
      <c r="Q29" s="194">
        <v>9.5130131984754041</v>
      </c>
      <c r="R29" s="194">
        <v>7.2568073327209008</v>
      </c>
      <c r="S29" s="194">
        <v>6.5667365996161058</v>
      </c>
      <c r="T29" s="194">
        <v>6.8206602511791923</v>
      </c>
      <c r="U29" s="194">
        <v>6.9327819049807253</v>
      </c>
      <c r="V29" s="194">
        <v>9.4110798122065731</v>
      </c>
      <c r="W29" s="194">
        <v>9.9781938172858933</v>
      </c>
      <c r="X29" s="194">
        <v>12.181446484852581</v>
      </c>
      <c r="Y29" s="194">
        <v>14.096623273980221</v>
      </c>
      <c r="Z29" s="194">
        <v>14.986929011946248</v>
      </c>
      <c r="AA29" s="194">
        <v>16.425049111562309</v>
      </c>
      <c r="AB29" s="194">
        <v>15.128357858626822</v>
      </c>
      <c r="AC29" s="194">
        <v>14.368402572036782</v>
      </c>
      <c r="AD29" s="194">
        <v>13.364337718085299</v>
      </c>
      <c r="AE29" s="194">
        <v>13.66466305876517</v>
      </c>
      <c r="AF29" s="194">
        <v>11.121569444976432</v>
      </c>
    </row>
    <row r="30" spans="1:32">
      <c r="A30" s="21">
        <v>835</v>
      </c>
      <c r="B30" s="21" t="s">
        <v>174</v>
      </c>
      <c r="C30" s="1053">
        <v>93.3615039417829</v>
      </c>
      <c r="D30" s="1053">
        <v>93.143257535466446</v>
      </c>
      <c r="E30" s="1053">
        <v>89.343049934461988</v>
      </c>
      <c r="F30" s="1053">
        <v>88.270410673932403</v>
      </c>
      <c r="G30" s="1053"/>
      <c r="H30" s="1053"/>
      <c r="I30" s="1053"/>
      <c r="J30" s="1053"/>
      <c r="K30" s="1053"/>
      <c r="L30" s="1053">
        <v>61.811319619872485</v>
      </c>
      <c r="M30" s="1053">
        <v>61.808492106686963</v>
      </c>
      <c r="N30" s="195">
        <v>66.677093479593736</v>
      </c>
      <c r="O30" s="195">
        <v>57.872339882049928</v>
      </c>
      <c r="P30" s="195">
        <v>54.763340459708708</v>
      </c>
      <c r="Q30" s="195">
        <v>51.081211502097169</v>
      </c>
      <c r="R30" s="195">
        <v>59.716840351154168</v>
      </c>
      <c r="S30" s="195">
        <v>59.933449229554661</v>
      </c>
      <c r="T30" s="195">
        <v>57.185435819670381</v>
      </c>
      <c r="U30" s="195">
        <v>50.471976383359006</v>
      </c>
      <c r="V30" s="195">
        <v>55.816338243332439</v>
      </c>
      <c r="W30" s="195">
        <v>67.354335683936981</v>
      </c>
      <c r="X30" s="195">
        <v>69.525302777434248</v>
      </c>
      <c r="Y30" s="195">
        <v>67.121828230377915</v>
      </c>
      <c r="Z30" s="195">
        <v>69.289255676837868</v>
      </c>
      <c r="AA30" s="195">
        <v>68.799046818822461</v>
      </c>
      <c r="AB30" s="195">
        <v>70.168444834976555</v>
      </c>
      <c r="AC30" s="195">
        <v>71.821817541932433</v>
      </c>
      <c r="AD30" s="195">
        <v>67.655560348256145</v>
      </c>
      <c r="AE30" s="195"/>
      <c r="AF30" s="195"/>
    </row>
    <row r="31" spans="1:32">
      <c r="A31" s="21">
        <v>516</v>
      </c>
      <c r="B31" s="21" t="s">
        <v>108</v>
      </c>
      <c r="C31" s="1056">
        <v>8.809380564757161</v>
      </c>
      <c r="D31" s="1056">
        <v>9.1433505094353897</v>
      </c>
      <c r="E31" s="1056">
        <v>10.211974997258471</v>
      </c>
      <c r="F31" s="1056">
        <v>9.0455800830535082</v>
      </c>
      <c r="G31" s="1056">
        <v>11.504006905247479</v>
      </c>
      <c r="H31" s="1056">
        <v>11.026619181145678</v>
      </c>
      <c r="I31" s="1056">
        <v>11.723228424269941</v>
      </c>
      <c r="J31" s="1056">
        <v>9.7449029106892517</v>
      </c>
      <c r="K31" s="1056">
        <v>12.590770073870786</v>
      </c>
      <c r="L31" s="1056">
        <v>9.7457439752374349</v>
      </c>
      <c r="M31" s="1056">
        <v>7.872992294123109</v>
      </c>
      <c r="N31" s="198">
        <v>9.9173777176465077</v>
      </c>
      <c r="O31" s="198">
        <v>8.749180527644695</v>
      </c>
      <c r="P31" s="198">
        <v>9.381960863591372</v>
      </c>
      <c r="Q31" s="198">
        <v>10.271765067684305</v>
      </c>
      <c r="R31" s="198">
        <v>12.92634284837877</v>
      </c>
      <c r="S31" s="198">
        <v>5.820321033827442</v>
      </c>
      <c r="T31" s="198">
        <v>9.8355809381563581</v>
      </c>
      <c r="U31" s="198">
        <v>7.9997894172913542</v>
      </c>
      <c r="V31" s="198">
        <v>7.5757575757575761</v>
      </c>
      <c r="W31" s="198">
        <v>7.757534246575343</v>
      </c>
      <c r="X31" s="198">
        <v>6.855818181818182</v>
      </c>
      <c r="Y31" s="198">
        <v>6.1577146767020183</v>
      </c>
      <c r="Z31" s="198">
        <v>8.4154280945296893</v>
      </c>
      <c r="AA31" s="198">
        <v>9.5765417990343771</v>
      </c>
      <c r="AB31" s="198">
        <v>11.395648986827538</v>
      </c>
      <c r="AC31" s="198">
        <v>10.731730045660566</v>
      </c>
      <c r="AD31" s="198"/>
      <c r="AE31" s="198"/>
      <c r="AF31" s="198"/>
    </row>
    <row r="32" spans="1:32">
      <c r="A32" s="21">
        <v>355</v>
      </c>
      <c r="B32" s="21" t="s">
        <v>64</v>
      </c>
      <c r="C32" s="1054">
        <v>35.707805491539837</v>
      </c>
      <c r="D32" s="1054">
        <v>35.638435168410417</v>
      </c>
      <c r="E32" s="1054">
        <v>34.282907766093878</v>
      </c>
      <c r="F32" s="1054">
        <v>37.148244493886828</v>
      </c>
      <c r="G32" s="1054">
        <v>40.131161389902573</v>
      </c>
      <c r="H32" s="1054">
        <v>42.795127620734128</v>
      </c>
      <c r="I32" s="1054">
        <v>40.033638345750866</v>
      </c>
      <c r="J32" s="1054">
        <v>40.785300199332333</v>
      </c>
      <c r="K32" s="1054">
        <v>45.565665772624051</v>
      </c>
      <c r="L32" s="1054">
        <v>46.420595037240922</v>
      </c>
      <c r="M32" s="1054">
        <v>33.119193432739557</v>
      </c>
      <c r="N32" s="196">
        <v>43.478260869565219</v>
      </c>
      <c r="O32" s="196">
        <v>47.111553784860561</v>
      </c>
      <c r="P32" s="196">
        <v>38.206758113081293</v>
      </c>
      <c r="Q32" s="196">
        <v>45.047564687975644</v>
      </c>
      <c r="R32" s="196">
        <v>51.921015781696923</v>
      </c>
      <c r="S32" s="196">
        <v>59.390231956752437</v>
      </c>
      <c r="T32" s="196">
        <v>58.682299068706378</v>
      </c>
      <c r="U32" s="196">
        <v>59.094416974520371</v>
      </c>
      <c r="V32" s="196">
        <v>55.983004093156396</v>
      </c>
      <c r="W32" s="196">
        <v>50.462412452438045</v>
      </c>
      <c r="X32" s="196">
        <v>48.721807397027213</v>
      </c>
      <c r="Y32" s="196">
        <v>47.445159783854074</v>
      </c>
      <c r="Z32" s="196">
        <v>48.52706678536353</v>
      </c>
      <c r="AA32" s="196">
        <v>51.930842890612418</v>
      </c>
      <c r="AB32" s="196">
        <v>40.536964508490072</v>
      </c>
      <c r="AC32" s="196">
        <v>61.209321506321615</v>
      </c>
      <c r="AD32" s="196">
        <v>59.466572519931717</v>
      </c>
      <c r="AE32" s="196">
        <v>58.21740338352167</v>
      </c>
      <c r="AF32" s="196">
        <v>47.831949129312747</v>
      </c>
    </row>
    <row r="33" spans="1:32">
      <c r="A33" s="21">
        <v>811</v>
      </c>
      <c r="B33" s="21" t="s">
        <v>169</v>
      </c>
      <c r="N33" s="199"/>
      <c r="O33" s="199"/>
      <c r="P33" s="199">
        <v>16.057073626185826</v>
      </c>
      <c r="Q33" s="199">
        <v>25.79195938813336</v>
      </c>
      <c r="R33" s="199">
        <v>31.184181531227345</v>
      </c>
      <c r="S33" s="199">
        <v>25.364006739611288</v>
      </c>
      <c r="T33" s="199">
        <v>33.616935575111633</v>
      </c>
      <c r="U33" s="199">
        <v>31.23814579377423</v>
      </c>
      <c r="V33" s="199">
        <v>40.54418617839589</v>
      </c>
      <c r="W33" s="199">
        <v>49.846235229942224</v>
      </c>
      <c r="X33" s="199">
        <v>52.596525400961546</v>
      </c>
      <c r="Y33" s="199">
        <v>55.422137588215683</v>
      </c>
      <c r="Z33" s="199">
        <v>56.52047049051162</v>
      </c>
      <c r="AA33" s="199">
        <v>63.605894911418623</v>
      </c>
      <c r="AB33" s="199">
        <v>64.084707252060653</v>
      </c>
      <c r="AC33" s="199">
        <v>68.594023470040128</v>
      </c>
      <c r="AD33" s="199">
        <v>65.325968050832529</v>
      </c>
      <c r="AE33" s="199">
        <v>65.543250702978838</v>
      </c>
      <c r="AF33" s="199">
        <v>59.612598310065302</v>
      </c>
    </row>
    <row r="34" spans="1:32">
      <c r="A34" s="21">
        <v>20</v>
      </c>
      <c r="B34" s="21" t="s">
        <v>1</v>
      </c>
      <c r="C34" s="1058">
        <v>28.082318139889946</v>
      </c>
      <c r="D34" s="1058">
        <v>26.917283221119035</v>
      </c>
      <c r="E34" s="1058">
        <v>25.690058679667981</v>
      </c>
      <c r="F34" s="1058">
        <v>25.459057916409407</v>
      </c>
      <c r="G34" s="1058">
        <v>28.639714223434211</v>
      </c>
      <c r="H34" s="1058">
        <v>28.283928402310828</v>
      </c>
      <c r="I34" s="1058">
        <v>27.852991272893291</v>
      </c>
      <c r="J34" s="1058">
        <v>26.820514930700295</v>
      </c>
      <c r="K34" s="1058">
        <v>26.723797655824395</v>
      </c>
      <c r="L34" s="1058">
        <v>25.684781551036295</v>
      </c>
      <c r="M34" s="1058">
        <v>25.813734242654661</v>
      </c>
      <c r="N34" s="201">
        <v>25.119534497575753</v>
      </c>
      <c r="O34" s="201">
        <v>27.093421653723158</v>
      </c>
      <c r="P34" s="201">
        <v>30.20748531320821</v>
      </c>
      <c r="Q34" s="201">
        <v>34.003915041777312</v>
      </c>
      <c r="R34" s="201">
        <v>37.323580437942518</v>
      </c>
      <c r="S34" s="201">
        <v>38.387121443866626</v>
      </c>
      <c r="T34" s="201">
        <v>39.491443052429211</v>
      </c>
      <c r="U34" s="201">
        <v>41.444173762504462</v>
      </c>
      <c r="V34" s="201">
        <v>43.184069068778683</v>
      </c>
      <c r="W34" s="201">
        <v>45.578532701330232</v>
      </c>
      <c r="X34" s="201">
        <v>43.541705774479084</v>
      </c>
      <c r="Y34" s="201">
        <v>41.563268439290312</v>
      </c>
      <c r="Z34" s="201">
        <v>38.120881158942446</v>
      </c>
      <c r="AA34" s="201">
        <v>38.421048146768129</v>
      </c>
      <c r="AB34" s="201">
        <v>37.808850343379348</v>
      </c>
      <c r="AC34" s="201">
        <v>36.133011124479026</v>
      </c>
      <c r="AD34" s="201">
        <v>34.958279642439898</v>
      </c>
      <c r="AE34" s="201">
        <v>35.255387569954635</v>
      </c>
      <c r="AF34" s="201">
        <v>28.715037855399771</v>
      </c>
    </row>
    <row r="35" spans="1:32">
      <c r="A35" s="21">
        <v>471</v>
      </c>
      <c r="B35" s="21" t="s">
        <v>98</v>
      </c>
      <c r="C35" s="1057">
        <v>27.884748189696936</v>
      </c>
      <c r="D35" s="1057">
        <v>21.867053340263912</v>
      </c>
      <c r="E35" s="1057">
        <v>33.214337858660649</v>
      </c>
      <c r="F35" s="1057">
        <v>30.397603274777492</v>
      </c>
      <c r="G35" s="1057">
        <v>33.478594199290804</v>
      </c>
      <c r="H35" s="1057">
        <v>33.448771059227546</v>
      </c>
      <c r="I35" s="1057">
        <v>23.281370600601768</v>
      </c>
      <c r="J35" s="1057">
        <v>16.694256433503394</v>
      </c>
      <c r="K35" s="1057">
        <v>16.032974868474412</v>
      </c>
      <c r="L35" s="1057">
        <v>20.707036638599227</v>
      </c>
      <c r="M35" s="1057">
        <v>20.182914400460923</v>
      </c>
      <c r="N35" s="200">
        <v>19.998880461019326</v>
      </c>
      <c r="O35" s="200">
        <v>20.54702224987534</v>
      </c>
      <c r="P35" s="200">
        <v>16.179660762073969</v>
      </c>
      <c r="Q35" s="200">
        <v>21.120655213743508</v>
      </c>
      <c r="R35" s="200">
        <v>23.57528282391176</v>
      </c>
      <c r="S35" s="200">
        <v>23.381444481073256</v>
      </c>
      <c r="T35" s="200">
        <v>21.42819582478835</v>
      </c>
      <c r="U35" s="200">
        <v>21.430444021304194</v>
      </c>
      <c r="V35" s="200">
        <v>21.502412241253296</v>
      </c>
      <c r="W35" s="200">
        <v>23.252969266952654</v>
      </c>
      <c r="X35" s="200">
        <v>21.919998114830115</v>
      </c>
      <c r="Y35" s="200">
        <v>19.933494174657596</v>
      </c>
      <c r="Z35" s="200">
        <v>20.238726790450929</v>
      </c>
      <c r="AA35" s="200">
        <v>19.400588354126707</v>
      </c>
      <c r="AB35" s="200">
        <v>20.454649355399106</v>
      </c>
      <c r="AC35" s="200">
        <v>23.003994673768307</v>
      </c>
      <c r="AD35" s="200">
        <v>22.060265660653389</v>
      </c>
      <c r="AE35" s="200">
        <v>32.516174653518661</v>
      </c>
      <c r="AF35" s="200">
        <v>26.575637775154686</v>
      </c>
    </row>
    <row r="36" spans="1:32">
      <c r="A36" s="21">
        <v>402</v>
      </c>
      <c r="B36" s="21" t="s">
        <v>81</v>
      </c>
      <c r="C36" s="1059"/>
      <c r="D36" s="1059"/>
      <c r="E36" s="1059"/>
      <c r="F36" s="1059"/>
      <c r="G36" s="1059"/>
      <c r="H36" s="1059"/>
      <c r="I36" s="1059">
        <v>16.958341066709202</v>
      </c>
      <c r="J36" s="1059">
        <v>18.039962962549779</v>
      </c>
      <c r="K36" s="1059">
        <v>14.757029322476892</v>
      </c>
      <c r="L36" s="1059">
        <v>12.309262505348805</v>
      </c>
      <c r="M36" s="1059">
        <v>12.711225318805999</v>
      </c>
      <c r="N36" s="202">
        <v>11.047268262737877</v>
      </c>
      <c r="O36" s="202">
        <v>10.81800655653989</v>
      </c>
      <c r="P36" s="202">
        <v>13.275308832137025</v>
      </c>
      <c r="Q36" s="202">
        <v>14.790494988288172</v>
      </c>
      <c r="R36" s="202">
        <v>19.143451231673421</v>
      </c>
      <c r="S36" s="202">
        <v>22.226663934129785</v>
      </c>
      <c r="T36" s="202">
        <v>25.565589109708718</v>
      </c>
      <c r="U36" s="202">
        <v>20.176366176970429</v>
      </c>
      <c r="V36" s="202">
        <v>19.324197888635894</v>
      </c>
      <c r="W36" s="202">
        <v>27.518867924528301</v>
      </c>
      <c r="X36" s="202">
        <v>30.321533923303832</v>
      </c>
      <c r="Y36" s="202">
        <v>31.463988919667589</v>
      </c>
      <c r="Z36" s="202">
        <v>31.743260590500643</v>
      </c>
      <c r="AA36" s="202">
        <v>14.874176119398848</v>
      </c>
      <c r="AB36" s="202">
        <v>17.136732626612925</v>
      </c>
      <c r="AC36" s="202">
        <v>20.713789888318868</v>
      </c>
      <c r="AD36" s="202">
        <v>21.412188117704101</v>
      </c>
      <c r="AE36" s="202">
        <v>22.518863373985003</v>
      </c>
      <c r="AF36" s="202">
        <v>23.619509054413705</v>
      </c>
    </row>
    <row r="37" spans="1:32">
      <c r="A37" s="21">
        <v>437</v>
      </c>
      <c r="B37" s="21" t="s">
        <v>91</v>
      </c>
      <c r="C37" s="1069">
        <v>35.001629331254783</v>
      </c>
      <c r="D37" s="1069">
        <v>35.175003492164571</v>
      </c>
      <c r="E37" s="1069">
        <v>36.423228683062142</v>
      </c>
      <c r="F37" s="1069">
        <v>36.959859916232226</v>
      </c>
      <c r="G37" s="1069">
        <v>45.311927697183023</v>
      </c>
      <c r="H37" s="1069">
        <v>46.774912983127301</v>
      </c>
      <c r="I37" s="1069">
        <v>39.495908409199579</v>
      </c>
      <c r="J37" s="1069">
        <v>33.429990198055314</v>
      </c>
      <c r="K37" s="1069">
        <v>30.488128492339296</v>
      </c>
      <c r="L37" s="1069">
        <v>32.033335638090954</v>
      </c>
      <c r="M37" s="1069">
        <v>31.689874671955454</v>
      </c>
      <c r="N37" s="212">
        <v>30.011726345478806</v>
      </c>
      <c r="O37" s="212">
        <v>31.90948692911909</v>
      </c>
      <c r="P37" s="212">
        <v>29.442452874783221</v>
      </c>
      <c r="Q37" s="212">
        <v>40.527401863672722</v>
      </c>
      <c r="R37" s="212">
        <v>41.759299664174151</v>
      </c>
      <c r="S37" s="212">
        <v>41.10099508981407</v>
      </c>
      <c r="T37" s="212">
        <v>41.419799216503847</v>
      </c>
      <c r="U37" s="212">
        <v>39.413348185278011</v>
      </c>
      <c r="V37" s="212">
        <v>40.350536799896517</v>
      </c>
      <c r="W37" s="212">
        <v>40.427683471085523</v>
      </c>
      <c r="X37" s="212">
        <v>41.84292570600639</v>
      </c>
      <c r="Y37" s="212">
        <v>50.028294210032655</v>
      </c>
      <c r="Z37" s="212">
        <v>45.836610864112934</v>
      </c>
      <c r="AA37" s="212">
        <v>48.55579760266032</v>
      </c>
      <c r="AB37" s="212">
        <v>51.052045897707089</v>
      </c>
      <c r="AC37" s="212">
        <v>52.650582651702848</v>
      </c>
      <c r="AD37" s="212">
        <v>47.815929995069069</v>
      </c>
      <c r="AE37" s="212">
        <v>46.512046243365752</v>
      </c>
      <c r="AF37" s="212">
        <v>41.71973590471346</v>
      </c>
    </row>
    <row r="38" spans="1:32">
      <c r="A38" s="21">
        <v>482</v>
      </c>
      <c r="B38" s="21" t="s">
        <v>101</v>
      </c>
      <c r="C38" s="1060">
        <v>25.221545230754334</v>
      </c>
      <c r="D38" s="1060">
        <v>24.383450020854372</v>
      </c>
      <c r="E38" s="1060">
        <v>22.177752133427038</v>
      </c>
      <c r="F38" s="1060">
        <v>24.148999316856269</v>
      </c>
      <c r="G38" s="1060">
        <v>23.39399427608851</v>
      </c>
      <c r="H38" s="1060">
        <v>20.54330893328294</v>
      </c>
      <c r="I38" s="1060">
        <v>16.560049262861575</v>
      </c>
      <c r="J38" s="1060">
        <v>16.233832164080066</v>
      </c>
      <c r="K38" s="1060">
        <v>15.268923529663017</v>
      </c>
      <c r="L38" s="1060">
        <v>16.844951695531265</v>
      </c>
      <c r="M38" s="1060">
        <v>14.764341542093584</v>
      </c>
      <c r="N38" s="203">
        <v>12.538393976690495</v>
      </c>
      <c r="O38" s="203">
        <v>11.503407722275064</v>
      </c>
      <c r="P38" s="203">
        <v>13.985498194945089</v>
      </c>
      <c r="Q38" s="203">
        <v>23.990787883906798</v>
      </c>
      <c r="R38" s="203">
        <v>20.387865472672321</v>
      </c>
      <c r="S38" s="203">
        <v>17.318231640482278</v>
      </c>
      <c r="T38" s="203">
        <v>19.515979804894744</v>
      </c>
      <c r="U38" s="203">
        <v>17.008578828099708</v>
      </c>
      <c r="V38" s="203">
        <v>11.147851073690715</v>
      </c>
      <c r="W38" s="203">
        <v>19.753873044937027</v>
      </c>
      <c r="X38" s="203">
        <v>16.522970680296353</v>
      </c>
      <c r="Y38" s="203">
        <v>15.507440151001445</v>
      </c>
      <c r="Z38" s="203">
        <v>13.502804799027111</v>
      </c>
      <c r="AA38" s="203">
        <v>13.229106542199066</v>
      </c>
      <c r="AB38" s="203">
        <v>12.61879243461372</v>
      </c>
      <c r="AC38" s="203">
        <v>14.037789050072869</v>
      </c>
      <c r="AD38" s="203">
        <v>14.848581638646131</v>
      </c>
      <c r="AE38" s="203">
        <v>10.805346512411546</v>
      </c>
      <c r="AF38" s="203">
        <v>14.45953956198279</v>
      </c>
    </row>
    <row r="39" spans="1:32">
      <c r="A39" s="21">
        <v>483</v>
      </c>
      <c r="B39" s="21" t="s">
        <v>102</v>
      </c>
      <c r="C39" s="1061">
        <v>16.944906728029149</v>
      </c>
      <c r="D39" s="1061">
        <v>15.100460205452432</v>
      </c>
      <c r="E39" s="1061">
        <v>6.5619714825448581</v>
      </c>
      <c r="F39" s="1061">
        <v>16.418876607073837</v>
      </c>
      <c r="G39" s="1061">
        <v>18.017807255154771</v>
      </c>
      <c r="H39" s="1061">
        <v>11.90663510302762</v>
      </c>
      <c r="I39" s="1061">
        <v>13.394104428265921</v>
      </c>
      <c r="J39" s="1061">
        <v>15.449248273190138</v>
      </c>
      <c r="K39" s="1061">
        <v>15.019143296625003</v>
      </c>
      <c r="L39" s="1061">
        <v>13.781424506258633</v>
      </c>
      <c r="M39" s="1061">
        <v>13.480208246072923</v>
      </c>
      <c r="N39" s="204">
        <v>11.951633055529392</v>
      </c>
      <c r="O39" s="204">
        <v>11.090746386825479</v>
      </c>
      <c r="P39" s="204">
        <v>13.323446123853918</v>
      </c>
      <c r="Q39" s="204">
        <v>16.105601999815232</v>
      </c>
      <c r="R39" s="204">
        <v>21.929017547054308</v>
      </c>
      <c r="S39" s="204">
        <v>17.543509246637818</v>
      </c>
      <c r="T39" s="204">
        <v>18.543836084469621</v>
      </c>
      <c r="U39" s="204">
        <v>18.491626062149262</v>
      </c>
      <c r="V39" s="204">
        <v>18.31812077129948</v>
      </c>
      <c r="W39" s="204">
        <v>16.8900964318922</v>
      </c>
      <c r="X39" s="204">
        <v>14.665787545026642</v>
      </c>
      <c r="Y39" s="204">
        <v>12.689940596764574</v>
      </c>
      <c r="Z39" s="204">
        <v>24.63296690694812</v>
      </c>
      <c r="AA39" s="204">
        <v>51.008858056715582</v>
      </c>
      <c r="AB39" s="204">
        <v>61.002354790375236</v>
      </c>
      <c r="AC39" s="204">
        <v>63.152399167100725</v>
      </c>
      <c r="AD39" s="204">
        <v>54.800000000000004</v>
      </c>
      <c r="AE39" s="204">
        <v>52.800000000000004</v>
      </c>
      <c r="AF39" s="204">
        <v>42.1</v>
      </c>
    </row>
    <row r="40" spans="1:32">
      <c r="A40" s="21">
        <v>155</v>
      </c>
      <c r="B40" s="21" t="s">
        <v>32</v>
      </c>
      <c r="C40" s="1062">
        <v>22.819905021190472</v>
      </c>
      <c r="D40" s="1062">
        <v>16.41762447078067</v>
      </c>
      <c r="E40" s="1062">
        <v>19.368585537885291</v>
      </c>
      <c r="F40" s="1062">
        <v>24.009603695067412</v>
      </c>
      <c r="G40" s="1062">
        <v>24.233912773769656</v>
      </c>
      <c r="H40" s="1062">
        <v>28.147506886872613</v>
      </c>
      <c r="I40" s="1062">
        <v>29.089593528795692</v>
      </c>
      <c r="J40" s="1062">
        <v>30.127325245321273</v>
      </c>
      <c r="K40" s="1062">
        <v>34.247797431620583</v>
      </c>
      <c r="L40" s="1062">
        <v>35.388879489575956</v>
      </c>
      <c r="M40" s="1062">
        <v>33.98603475649368</v>
      </c>
      <c r="N40" s="205">
        <v>32.396379321839035</v>
      </c>
      <c r="O40" s="205">
        <v>29.81192677279456</v>
      </c>
      <c r="P40" s="205">
        <v>26.623158033875583</v>
      </c>
      <c r="Q40" s="205">
        <v>28.237889391721655</v>
      </c>
      <c r="R40" s="205">
        <v>29.302785880064597</v>
      </c>
      <c r="S40" s="205">
        <v>27.276774882737104</v>
      </c>
      <c r="T40" s="205">
        <v>27.083764608193917</v>
      </c>
      <c r="U40" s="205">
        <v>26.299910772920988</v>
      </c>
      <c r="V40" s="205">
        <v>29.5980143754701</v>
      </c>
      <c r="W40" s="205">
        <v>31.596079380176899</v>
      </c>
      <c r="X40" s="205">
        <v>33.307443329718303</v>
      </c>
      <c r="Y40" s="205">
        <v>34.037246740401493</v>
      </c>
      <c r="Z40" s="205">
        <v>36.524268364684147</v>
      </c>
      <c r="AA40" s="205">
        <v>40.758844209767574</v>
      </c>
      <c r="AB40" s="205">
        <v>41.326499832523787</v>
      </c>
      <c r="AC40" s="205">
        <v>45.765242336812065</v>
      </c>
      <c r="AD40" s="205">
        <v>47.246813476343398</v>
      </c>
      <c r="AE40" s="205">
        <v>44.784723279214496</v>
      </c>
      <c r="AF40" s="205">
        <v>38.135964076239802</v>
      </c>
    </row>
    <row r="41" spans="1:32">
      <c r="A41" s="21">
        <v>710</v>
      </c>
      <c r="B41" s="21" t="s">
        <v>154</v>
      </c>
      <c r="C41" s="1063">
        <v>10.647835658587422</v>
      </c>
      <c r="D41" s="1063">
        <v>12.575271832467127</v>
      </c>
      <c r="E41" s="1063">
        <v>11.670255341769725</v>
      </c>
      <c r="F41" s="1063">
        <v>10.191023790836534</v>
      </c>
      <c r="G41" s="1063">
        <v>10.411287124482325</v>
      </c>
      <c r="H41" s="1063">
        <v>9.2129349619176608</v>
      </c>
      <c r="I41" s="1063">
        <v>9.9996011192109577</v>
      </c>
      <c r="J41" s="1063">
        <v>14.487806336909347</v>
      </c>
      <c r="K41" s="1063">
        <v>14.833164446107993</v>
      </c>
      <c r="L41" s="1063">
        <v>13.902807903367806</v>
      </c>
      <c r="M41" s="1063">
        <v>16.073989494976495</v>
      </c>
      <c r="N41" s="206">
        <v>17.365861112185332</v>
      </c>
      <c r="O41" s="206">
        <v>18.647808933974787</v>
      </c>
      <c r="P41" s="206">
        <v>19.649676130843996</v>
      </c>
      <c r="Q41" s="206">
        <v>21.266406589632073</v>
      </c>
      <c r="R41" s="206">
        <v>20.225074698830007</v>
      </c>
      <c r="S41" s="206">
        <v>20.053855558189884</v>
      </c>
      <c r="T41" s="206">
        <v>21.753888025883601</v>
      </c>
      <c r="U41" s="206">
        <v>20.346598967886436</v>
      </c>
      <c r="V41" s="206">
        <v>20.169893051122447</v>
      </c>
      <c r="W41" s="206">
        <v>23.326300810715043</v>
      </c>
      <c r="X41" s="206">
        <v>22.600247452254738</v>
      </c>
      <c r="Y41" s="206">
        <v>25.133331213406183</v>
      </c>
      <c r="Z41" s="206">
        <v>29.55607902840292</v>
      </c>
      <c r="AA41" s="206">
        <v>33.951733365401054</v>
      </c>
      <c r="AB41" s="206">
        <v>37.081248571354415</v>
      </c>
      <c r="AC41" s="206">
        <v>39.13381303047786</v>
      </c>
      <c r="AD41" s="206">
        <v>38.413982245985203</v>
      </c>
      <c r="AE41" s="206">
        <v>34.979512377191327</v>
      </c>
      <c r="AF41" s="206">
        <v>26.74376444537117</v>
      </c>
    </row>
    <row r="42" spans="1:32">
      <c r="A42" s="21">
        <v>100</v>
      </c>
      <c r="B42" s="21" t="s">
        <v>23</v>
      </c>
      <c r="C42" s="1064">
        <v>16.211458208000611</v>
      </c>
      <c r="D42" s="1064">
        <v>11.852088192042155</v>
      </c>
      <c r="E42" s="1064">
        <v>10.931815331290059</v>
      </c>
      <c r="F42" s="1064">
        <v>10.444848616024755</v>
      </c>
      <c r="G42" s="1064">
        <v>11.875794930643284</v>
      </c>
      <c r="H42" s="1064">
        <v>13.814259831413667</v>
      </c>
      <c r="I42" s="1064">
        <v>18.837246440607451</v>
      </c>
      <c r="J42" s="1064">
        <v>16.952978277160348</v>
      </c>
      <c r="K42" s="1064">
        <v>16.289688164190508</v>
      </c>
      <c r="L42" s="1064">
        <v>18.001261678997388</v>
      </c>
      <c r="M42" s="1064">
        <v>20.565429150091145</v>
      </c>
      <c r="N42" s="207">
        <v>21.343182577651145</v>
      </c>
      <c r="O42" s="207">
        <v>17.708464218822794</v>
      </c>
      <c r="P42" s="207">
        <v>16.428931955435221</v>
      </c>
      <c r="Q42" s="207">
        <v>14.998361834568778</v>
      </c>
      <c r="R42" s="207">
        <v>14.533742889210261</v>
      </c>
      <c r="S42" s="207">
        <v>15.199461701397048</v>
      </c>
      <c r="T42" s="207">
        <v>14.841543743470668</v>
      </c>
      <c r="U42" s="207">
        <v>15.00735083699117</v>
      </c>
      <c r="V42" s="207">
        <v>18.346578750154098</v>
      </c>
      <c r="W42" s="207">
        <v>16.378864504786243</v>
      </c>
      <c r="X42" s="207">
        <v>15.85772085622745</v>
      </c>
      <c r="Y42" s="207">
        <v>15.209837375147837</v>
      </c>
      <c r="Z42" s="207">
        <v>16.962625208657297</v>
      </c>
      <c r="AA42" s="207">
        <v>17.121051270925694</v>
      </c>
      <c r="AB42" s="207">
        <v>17.011811279273275</v>
      </c>
      <c r="AC42" s="207">
        <v>17.754089599370111</v>
      </c>
      <c r="AD42" s="207">
        <v>16.68746059430519</v>
      </c>
      <c r="AE42" s="207">
        <v>18.174719106057573</v>
      </c>
      <c r="AF42" s="207">
        <v>16.255195723135785</v>
      </c>
    </row>
    <row r="43" spans="1:32">
      <c r="A43" s="21">
        <v>581</v>
      </c>
      <c r="B43" s="21" t="s">
        <v>125</v>
      </c>
      <c r="C43" s="1065">
        <v>8.6993182987080271</v>
      </c>
      <c r="D43" s="1065">
        <v>11.758075703119079</v>
      </c>
      <c r="E43" s="1065">
        <v>15.686270858142803</v>
      </c>
      <c r="F43" s="1065">
        <v>19.827748192771082</v>
      </c>
      <c r="G43" s="1065">
        <v>9.0189063912093328</v>
      </c>
      <c r="H43" s="1065">
        <v>16.997818933321504</v>
      </c>
      <c r="I43" s="1065">
        <v>16.440377286220574</v>
      </c>
      <c r="J43" s="1065">
        <v>15.245195916253017</v>
      </c>
      <c r="K43" s="1065">
        <v>17.984983542691367</v>
      </c>
      <c r="L43" s="1065">
        <v>14.882409192582685</v>
      </c>
      <c r="M43" s="1065">
        <v>14.252137379910099</v>
      </c>
      <c r="N43" s="208">
        <v>20.011489300588828</v>
      </c>
      <c r="O43" s="208">
        <v>18.040534786681427</v>
      </c>
      <c r="P43" s="208">
        <v>19.969986064958732</v>
      </c>
      <c r="Q43" s="208">
        <v>20.073431500562371</v>
      </c>
      <c r="R43" s="208">
        <v>19.763396765424133</v>
      </c>
      <c r="S43" s="208">
        <v>18.323683734394788</v>
      </c>
      <c r="T43" s="208">
        <v>18.14294638433535</v>
      </c>
      <c r="U43" s="208">
        <v>11.354312036347229</v>
      </c>
      <c r="V43" s="208">
        <v>12.711369695082798</v>
      </c>
      <c r="W43" s="208">
        <v>16.73669662650379</v>
      </c>
      <c r="X43" s="208">
        <v>15.521216378134941</v>
      </c>
      <c r="Y43" s="208">
        <v>15.731227102739673</v>
      </c>
      <c r="Z43" s="208">
        <v>17.515925818562327</v>
      </c>
      <c r="AA43" s="208">
        <v>15.11393075016017</v>
      </c>
      <c r="AB43" s="208">
        <v>14.143894665343018</v>
      </c>
      <c r="AC43" s="208">
        <v>14.196718823127616</v>
      </c>
      <c r="AD43" s="208">
        <v>14.730801909936217</v>
      </c>
      <c r="AE43" s="208">
        <v>13.909810330980022</v>
      </c>
      <c r="AF43" s="208">
        <v>14.666322052493882</v>
      </c>
    </row>
    <row r="44" spans="1:32">
      <c r="A44" s="21">
        <v>484</v>
      </c>
      <c r="B44" s="21" t="s">
        <v>103</v>
      </c>
      <c r="C44" s="1067">
        <v>60.016648168701451</v>
      </c>
      <c r="D44" s="1067">
        <v>58.021044858777927</v>
      </c>
      <c r="E44" s="1067">
        <v>55.267605633802816</v>
      </c>
      <c r="F44" s="1067">
        <v>57.945445445445444</v>
      </c>
      <c r="G44" s="1067">
        <v>61.627543035993739</v>
      </c>
      <c r="H44" s="1067">
        <v>56.788215904408737</v>
      </c>
      <c r="I44" s="1067">
        <v>39.833700934944275</v>
      </c>
      <c r="J44" s="1067">
        <v>41.734306133846935</v>
      </c>
      <c r="K44" s="1067">
        <v>40.622154779969648</v>
      </c>
      <c r="L44" s="1067">
        <v>48.524202024196647</v>
      </c>
      <c r="M44" s="1067">
        <v>53.674540682414694</v>
      </c>
      <c r="N44" s="210">
        <v>45.063093534538837</v>
      </c>
      <c r="O44" s="210">
        <v>42.864502833590933</v>
      </c>
      <c r="P44" s="210">
        <v>44.225422970661754</v>
      </c>
      <c r="Q44" s="210">
        <v>58.512154403680924</v>
      </c>
      <c r="R44" s="210">
        <v>64.703654610869151</v>
      </c>
      <c r="S44" s="210">
        <v>68.723551588828187</v>
      </c>
      <c r="T44" s="210">
        <v>75.596639374492881</v>
      </c>
      <c r="U44" s="210">
        <v>76.277629771324229</v>
      </c>
      <c r="V44" s="210">
        <v>72.290071068791832</v>
      </c>
      <c r="W44" s="210">
        <v>80.297452562704478</v>
      </c>
      <c r="X44" s="210">
        <v>77.419050432065617</v>
      </c>
      <c r="Y44" s="210">
        <v>81.514596417882075</v>
      </c>
      <c r="Z44" s="210">
        <v>80.812365599086519</v>
      </c>
      <c r="AA44" s="210">
        <v>80.529792834867649</v>
      </c>
      <c r="AB44" s="210">
        <v>84.158173107916028</v>
      </c>
      <c r="AC44" s="210">
        <v>84.159677805224362</v>
      </c>
      <c r="AD44" s="210">
        <v>76.7250024481324</v>
      </c>
      <c r="AE44" s="210">
        <v>73.302172590105044</v>
      </c>
      <c r="AF44" s="210">
        <v>71.859376168591481</v>
      </c>
    </row>
    <row r="45" spans="1:32">
      <c r="A45" s="21">
        <v>94</v>
      </c>
      <c r="B45" s="21" t="s">
        <v>21</v>
      </c>
      <c r="C45" s="1068">
        <v>26.477883711528495</v>
      </c>
      <c r="D45" s="1068">
        <v>43.268355865169497</v>
      </c>
      <c r="E45" s="1068">
        <v>45.083897892333312</v>
      </c>
      <c r="F45" s="1068">
        <v>29.922632654387993</v>
      </c>
      <c r="G45" s="1068">
        <v>29.004217218147144</v>
      </c>
      <c r="H45" s="1068">
        <v>27.120231855549559</v>
      </c>
      <c r="I45" s="1068">
        <v>27.025795170690518</v>
      </c>
      <c r="J45" s="1068">
        <v>26.678700850540693</v>
      </c>
      <c r="K45" s="1068">
        <v>29.348476601559554</v>
      </c>
      <c r="L45" s="1068">
        <v>30.269844838459658</v>
      </c>
      <c r="M45" s="1068">
        <v>30.218855941650968</v>
      </c>
      <c r="N45" s="211">
        <v>33.560681432435189</v>
      </c>
      <c r="O45" s="211">
        <v>35.216247755038722</v>
      </c>
      <c r="P45" s="211">
        <v>35.773470765319374</v>
      </c>
      <c r="Q45" s="211">
        <v>35.561017139454123</v>
      </c>
      <c r="R45" s="211">
        <v>37.555448829666311</v>
      </c>
      <c r="S45" s="211">
        <v>39.314934664650295</v>
      </c>
      <c r="T45" s="211">
        <v>40.747518491253238</v>
      </c>
      <c r="U45" s="211">
        <v>47.463910678219086</v>
      </c>
      <c r="V45" s="211">
        <v>51.744903454521094</v>
      </c>
      <c r="W45" s="211">
        <v>48.622921611313259</v>
      </c>
      <c r="X45" s="211">
        <v>41.47720071729119</v>
      </c>
      <c r="Y45" s="211">
        <v>42.386356439200576</v>
      </c>
      <c r="Z45" s="211">
        <v>46.66910750104519</v>
      </c>
      <c r="AA45" s="211">
        <v>46.255954460237817</v>
      </c>
      <c r="AB45" s="211">
        <v>48.500053336187236</v>
      </c>
      <c r="AC45" s="211">
        <v>49.129060134452544</v>
      </c>
      <c r="AD45" s="211">
        <v>48.809367860266583</v>
      </c>
      <c r="AE45" s="211">
        <v>45.851639222013532</v>
      </c>
      <c r="AF45" s="211">
        <v>43.293953307532895</v>
      </c>
    </row>
    <row r="46" spans="1:32">
      <c r="A46" s="21">
        <v>344</v>
      </c>
      <c r="B46" s="21" t="s">
        <v>58</v>
      </c>
      <c r="N46" s="213">
        <v>77.651506566153373</v>
      </c>
      <c r="O46" s="213">
        <v>59.632297058989792</v>
      </c>
      <c r="P46" s="213">
        <v>52.390894520524903</v>
      </c>
      <c r="Q46" s="213">
        <v>45.843739616232241</v>
      </c>
      <c r="R46" s="213">
        <v>33.127610771459324</v>
      </c>
      <c r="S46" s="213">
        <v>35.89262193167346</v>
      </c>
      <c r="T46" s="213">
        <v>35.675137356546408</v>
      </c>
      <c r="U46" s="213">
        <v>35.299158675320754</v>
      </c>
      <c r="V46" s="213">
        <v>36.529409029607088</v>
      </c>
      <c r="W46" s="213">
        <v>41.686046823227557</v>
      </c>
      <c r="X46" s="213">
        <v>43.428268187762889</v>
      </c>
      <c r="Y46" s="213">
        <v>40.925794840009139</v>
      </c>
      <c r="Z46" s="213">
        <v>42.566185656284979</v>
      </c>
      <c r="AA46" s="213">
        <v>42.932304833871392</v>
      </c>
      <c r="AB46" s="213">
        <v>42.25315382366432</v>
      </c>
      <c r="AC46" s="213">
        <v>42.685071884055162</v>
      </c>
      <c r="AD46" s="213">
        <v>42.14277015703032</v>
      </c>
      <c r="AE46" s="213">
        <v>41.909104877891068</v>
      </c>
      <c r="AF46" s="213">
        <v>36.088462499794034</v>
      </c>
    </row>
    <row r="47" spans="1:32">
      <c r="A47" s="21">
        <v>40</v>
      </c>
      <c r="B47" s="21" t="s">
        <v>3</v>
      </c>
      <c r="C47" s="1070">
        <v>32.752436632249093</v>
      </c>
      <c r="D47" s="1070">
        <v>32.582318872568081</v>
      </c>
      <c r="E47" s="1070">
        <v>32.635278817782023</v>
      </c>
      <c r="F47" s="1070">
        <v>32.53392274144278</v>
      </c>
      <c r="G47" s="1070">
        <v>32.305597054225942</v>
      </c>
      <c r="H47" s="1070">
        <v>33.705065658187685</v>
      </c>
      <c r="I47" s="1070">
        <v>31.731730100819078</v>
      </c>
      <c r="J47" s="1070">
        <v>32.900078537601715</v>
      </c>
      <c r="K47" s="1070">
        <v>32.02714235962469</v>
      </c>
      <c r="L47" s="1070">
        <v>31.163968609691256</v>
      </c>
      <c r="M47" s="1070">
        <v>30.239045445541592</v>
      </c>
      <c r="N47" s="214">
        <v>21.931179646372922</v>
      </c>
      <c r="O47" s="214">
        <v>16.918266841241287</v>
      </c>
      <c r="P47" s="214">
        <v>13.194209812205957</v>
      </c>
      <c r="Q47" s="214">
        <v>13.239713934161646</v>
      </c>
      <c r="R47" s="214">
        <v>13.401511700954103</v>
      </c>
      <c r="S47" s="214">
        <v>15.313586761002519</v>
      </c>
      <c r="T47" s="214">
        <v>14.924796467503795</v>
      </c>
      <c r="U47" s="214">
        <v>14.252409982631805</v>
      </c>
      <c r="V47" s="214">
        <v>14.537333112403006</v>
      </c>
      <c r="W47" s="214">
        <v>14.129844466691532</v>
      </c>
      <c r="X47" s="214">
        <v>13.235781493136548</v>
      </c>
      <c r="Y47" s="214">
        <v>11.527068665247613</v>
      </c>
      <c r="Z47" s="214">
        <v>12.951970830977325</v>
      </c>
      <c r="AA47" s="214">
        <v>16.021610641984747</v>
      </c>
      <c r="AB47" s="214">
        <v>21.018159817651419</v>
      </c>
      <c r="AC47" s="214">
        <v>18.712921409029118</v>
      </c>
      <c r="AD47" s="214">
        <v>20.336394568270315</v>
      </c>
      <c r="AE47" s="214">
        <v>20.022491932037102</v>
      </c>
      <c r="AF47" s="214"/>
    </row>
    <row r="48" spans="1:32">
      <c r="A48" s="21">
        <v>352</v>
      </c>
      <c r="B48" s="21" t="s">
        <v>63</v>
      </c>
      <c r="C48" s="1071">
        <v>45.258448706733809</v>
      </c>
      <c r="D48" s="1071">
        <v>50.251141552511427</v>
      </c>
      <c r="E48" s="1071">
        <v>50.922042764665107</v>
      </c>
      <c r="F48" s="1071">
        <v>50.409077493542178</v>
      </c>
      <c r="G48" s="1071">
        <v>54.658289593143017</v>
      </c>
      <c r="H48" s="1071">
        <v>48.738359790004715</v>
      </c>
      <c r="I48" s="1071">
        <v>45.037167494028033</v>
      </c>
      <c r="J48" s="1071">
        <v>47.286823405435683</v>
      </c>
      <c r="K48" s="1071">
        <v>48.078560279315575</v>
      </c>
      <c r="L48" s="1071">
        <v>51.459967858497535</v>
      </c>
      <c r="M48" s="1071">
        <v>51.500564855029971</v>
      </c>
      <c r="N48" s="215">
        <v>47.085652073129673</v>
      </c>
      <c r="O48" s="215">
        <v>49.456959618421443</v>
      </c>
      <c r="P48" s="215">
        <v>47.491373255565428</v>
      </c>
      <c r="Q48" s="215">
        <v>47.689484208507928</v>
      </c>
      <c r="R48" s="215">
        <v>50.012903472467784</v>
      </c>
      <c r="S48" s="215">
        <v>50.770088236171077</v>
      </c>
      <c r="T48" s="215">
        <v>51.8320575617632</v>
      </c>
      <c r="U48" s="215">
        <v>49.788985999838161</v>
      </c>
      <c r="V48" s="215">
        <v>51.750727741663006</v>
      </c>
      <c r="W48" s="215">
        <v>55.357646062219622</v>
      </c>
      <c r="X48" s="215">
        <v>55.985318847243427</v>
      </c>
      <c r="Y48" s="215">
        <v>50.752788234250382</v>
      </c>
      <c r="Z48" s="215">
        <v>46.966804677852863</v>
      </c>
      <c r="AA48" s="215">
        <v>47.78248429273772</v>
      </c>
      <c r="AB48" s="215">
        <v>48.319416786921522</v>
      </c>
      <c r="AC48" s="215">
        <v>48.004923921856381</v>
      </c>
      <c r="AD48" s="215">
        <v>47.93522764650109</v>
      </c>
      <c r="AE48" s="215">
        <v>46.256601343060559</v>
      </c>
      <c r="AF48" s="215"/>
    </row>
    <row r="49" spans="1:32">
      <c r="A49" s="21">
        <v>315</v>
      </c>
      <c r="B49" s="21" t="s">
        <v>198</v>
      </c>
      <c r="C49" s="1072"/>
      <c r="D49" s="1072"/>
      <c r="E49" s="1072"/>
      <c r="F49" s="1072"/>
      <c r="G49" s="1072"/>
      <c r="H49" s="1072"/>
      <c r="I49" s="1072"/>
      <c r="J49" s="1072"/>
      <c r="K49" s="1072"/>
      <c r="L49" s="1072"/>
      <c r="M49" s="1072">
        <v>45.209198339188752</v>
      </c>
      <c r="N49" s="216">
        <v>52.772618731759088</v>
      </c>
      <c r="O49" s="216">
        <v>54.463863958431745</v>
      </c>
      <c r="P49" s="216">
        <v>55.831587349097077</v>
      </c>
      <c r="Q49" s="216">
        <v>50.481068394567394</v>
      </c>
      <c r="R49" s="216">
        <v>50.738686497713637</v>
      </c>
      <c r="S49" s="216">
        <v>48.927872116952059</v>
      </c>
      <c r="T49" s="216">
        <v>52.093375606125356</v>
      </c>
      <c r="U49" s="216">
        <v>54.224403613754788</v>
      </c>
      <c r="V49" s="216">
        <v>55.455577838683922</v>
      </c>
      <c r="W49" s="216">
        <v>63.374275809679382</v>
      </c>
      <c r="X49" s="216">
        <v>65.351536892476631</v>
      </c>
      <c r="Y49" s="216">
        <v>60.220813558661789</v>
      </c>
      <c r="Z49" s="216">
        <v>61.781142442503423</v>
      </c>
      <c r="AA49" s="216">
        <v>70.148950426359306</v>
      </c>
      <c r="AB49" s="216">
        <v>72.209941344472355</v>
      </c>
      <c r="AC49" s="216">
        <v>76.417132860947959</v>
      </c>
      <c r="AD49" s="216">
        <v>80.054787778676612</v>
      </c>
      <c r="AE49" s="216">
        <v>77.093456915354167</v>
      </c>
      <c r="AF49" s="216">
        <v>69.51944591788461</v>
      </c>
    </row>
    <row r="50" spans="1:32">
      <c r="A50" s="21">
        <v>316</v>
      </c>
      <c r="B50" s="21" t="s">
        <v>51</v>
      </c>
    </row>
    <row r="51" spans="1:32">
      <c r="A51" s="21">
        <v>390</v>
      </c>
      <c r="B51" s="21" t="s">
        <v>79</v>
      </c>
      <c r="C51" s="1073">
        <v>33.212853961183583</v>
      </c>
      <c r="D51" s="1073">
        <v>37.07995014741855</v>
      </c>
      <c r="E51" s="1073">
        <v>36.884631674974749</v>
      </c>
      <c r="F51" s="1073">
        <v>36.888376663194364</v>
      </c>
      <c r="G51" s="1073">
        <v>37.329081671063882</v>
      </c>
      <c r="H51" s="1073">
        <v>37.449810343232492</v>
      </c>
      <c r="I51" s="1073">
        <v>33.04888642110641</v>
      </c>
      <c r="J51" s="1073">
        <v>32.400894313592531</v>
      </c>
      <c r="K51" s="1073">
        <v>34.306158514745874</v>
      </c>
      <c r="L51" s="1073">
        <v>36.18424732365586</v>
      </c>
      <c r="M51" s="1073">
        <v>37.153719511614852</v>
      </c>
      <c r="N51" s="217">
        <v>38.544060075735139</v>
      </c>
      <c r="O51" s="217">
        <v>37.850528626343625</v>
      </c>
      <c r="P51" s="217">
        <v>37.365610560983711</v>
      </c>
      <c r="Q51" s="217">
        <v>37.691988801826099</v>
      </c>
      <c r="R51" s="217">
        <v>37.582352912328538</v>
      </c>
      <c r="S51" s="217">
        <v>37.881958469847255</v>
      </c>
      <c r="T51" s="217">
        <v>38.78421272856977</v>
      </c>
      <c r="U51" s="217">
        <v>38.217848499848749</v>
      </c>
      <c r="V51" s="217">
        <v>40.706632945273604</v>
      </c>
      <c r="W51" s="217">
        <v>46.550831398709704</v>
      </c>
      <c r="X51" s="217">
        <v>47.235684641710797</v>
      </c>
      <c r="Y51" s="217">
        <v>47.228056066092776</v>
      </c>
      <c r="Z51" s="217">
        <v>45.342970495234844</v>
      </c>
      <c r="AA51" s="217">
        <v>45.356231840565279</v>
      </c>
      <c r="AB51" s="217">
        <v>48.989003123752227</v>
      </c>
      <c r="AC51" s="217">
        <v>52.069825864350328</v>
      </c>
      <c r="AD51" s="217">
        <v>52.335539695602407</v>
      </c>
      <c r="AE51" s="217">
        <v>55.194515173979312</v>
      </c>
      <c r="AF51" s="217">
        <v>47.769874766901346</v>
      </c>
    </row>
    <row r="52" spans="1:32">
      <c r="A52" s="21">
        <v>522</v>
      </c>
      <c r="B52" s="21" t="s">
        <v>111</v>
      </c>
      <c r="C52" s="1074"/>
      <c r="D52" s="1074"/>
      <c r="E52" s="1074"/>
      <c r="F52" s="1074"/>
      <c r="G52" s="1074"/>
      <c r="H52" s="1074"/>
      <c r="I52" s="1074"/>
      <c r="J52" s="1074"/>
      <c r="K52" s="1074"/>
      <c r="L52" s="1074"/>
      <c r="M52" s="1074">
        <v>53.837752306930618</v>
      </c>
      <c r="N52" s="218">
        <v>53.837757857246281</v>
      </c>
      <c r="O52" s="218">
        <v>44.549852285166139</v>
      </c>
      <c r="P52" s="218">
        <v>43.983454590674974</v>
      </c>
      <c r="Q52" s="218">
        <v>41.928968283486014</v>
      </c>
      <c r="R52" s="218">
        <v>39.144885592837113</v>
      </c>
      <c r="S52" s="218">
        <v>38.518138846175745</v>
      </c>
      <c r="T52" s="218">
        <v>38.825333572132173</v>
      </c>
      <c r="U52" s="218">
        <v>40.445882870403807</v>
      </c>
      <c r="V52" s="218">
        <v>37.316041216424011</v>
      </c>
      <c r="W52" s="218">
        <v>35.056290339538592</v>
      </c>
      <c r="X52" s="218">
        <v>37.295562986947878</v>
      </c>
      <c r="Y52" s="218">
        <v>38.571298027315272</v>
      </c>
      <c r="Z52" s="218">
        <v>39.912112484441487</v>
      </c>
      <c r="AA52" s="218">
        <v>36.970813093980993</v>
      </c>
      <c r="AB52" s="218">
        <v>40.610781066929995</v>
      </c>
      <c r="AC52" s="218">
        <v>39.887299205971679</v>
      </c>
      <c r="AD52" s="218">
        <v>57.088252274491843</v>
      </c>
      <c r="AE52" s="218"/>
      <c r="AF52" s="218"/>
    </row>
    <row r="53" spans="1:32">
      <c r="A53" s="21">
        <v>54</v>
      </c>
      <c r="B53" s="21" t="s">
        <v>9</v>
      </c>
      <c r="C53" s="1075">
        <v>21.996615905245349</v>
      </c>
      <c r="D53" s="1075">
        <v>34.565691593489568</v>
      </c>
      <c r="E53" s="1075">
        <v>41.225454919296801</v>
      </c>
      <c r="F53" s="1075">
        <v>41.149212233549584</v>
      </c>
      <c r="G53" s="1075">
        <v>35.615647800816191</v>
      </c>
      <c r="H53" s="1075">
        <v>36.542940867082422</v>
      </c>
      <c r="I53" s="1075">
        <v>53.327825512227363</v>
      </c>
      <c r="J53" s="1075">
        <v>53.230345312774816</v>
      </c>
      <c r="K53" s="1075">
        <v>54.643586249059382</v>
      </c>
      <c r="L53" s="1075">
        <v>47.142061881449401</v>
      </c>
      <c r="M53" s="1075">
        <v>54.543833093501391</v>
      </c>
      <c r="N53" s="219">
        <v>51.161788250749204</v>
      </c>
      <c r="O53" s="219">
        <v>51.982615486775764</v>
      </c>
      <c r="P53" s="219">
        <v>48.561345290376664</v>
      </c>
      <c r="Q53" s="219">
        <v>49.057998470354534</v>
      </c>
      <c r="R53" s="219">
        <v>49.813194898367065</v>
      </c>
      <c r="S53" s="219">
        <v>51.343984962406019</v>
      </c>
      <c r="T53" s="219">
        <v>55.800846882958368</v>
      </c>
      <c r="U53" s="219">
        <v>58.660914227166657</v>
      </c>
      <c r="V53" s="219">
        <v>58.569650020749755</v>
      </c>
      <c r="W53" s="219">
        <v>53.292358123335383</v>
      </c>
      <c r="X53" s="219">
        <v>45.187236470408152</v>
      </c>
      <c r="Y53" s="219">
        <v>47.955995407710979</v>
      </c>
      <c r="Z53" s="219">
        <v>44.667089410272673</v>
      </c>
      <c r="AA53" s="219">
        <v>45.210300094794114</v>
      </c>
      <c r="AB53" s="219">
        <v>42.731964504511197</v>
      </c>
      <c r="AC53" s="219">
        <v>44.872577087342187</v>
      </c>
      <c r="AD53" s="219">
        <v>39.781025823035307</v>
      </c>
      <c r="AE53" s="219">
        <v>37.751004016064257</v>
      </c>
      <c r="AF53" s="219">
        <v>38.36265223274696</v>
      </c>
    </row>
    <row r="54" spans="1:32">
      <c r="A54" s="21">
        <v>42</v>
      </c>
      <c r="B54" s="21" t="s">
        <v>5</v>
      </c>
      <c r="C54" s="1076">
        <v>19.167547153261495</v>
      </c>
      <c r="D54" s="1076">
        <v>20.820145534260071</v>
      </c>
      <c r="E54" s="1076">
        <v>14.339527414500374</v>
      </c>
      <c r="F54" s="1076">
        <v>14.405010224560275</v>
      </c>
      <c r="G54" s="1076">
        <v>28.208006894336112</v>
      </c>
      <c r="H54" s="1076">
        <v>28.152441643745064</v>
      </c>
      <c r="I54" s="1076">
        <v>24.359653705801279</v>
      </c>
      <c r="J54" s="1076">
        <v>25.564016773349714</v>
      </c>
      <c r="K54" s="1076">
        <v>33.020730805015674</v>
      </c>
      <c r="L54" s="1076">
        <v>33.468400469069465</v>
      </c>
      <c r="M54" s="1076">
        <v>33.82642295371668</v>
      </c>
      <c r="N54" s="220">
        <v>40.11885664284673</v>
      </c>
      <c r="O54" s="220">
        <v>37.072870050873469</v>
      </c>
      <c r="P54" s="220">
        <v>36.740829973903409</v>
      </c>
      <c r="Q54" s="220">
        <v>36.70793583252707</v>
      </c>
      <c r="R54" s="220">
        <v>35.765593205721039</v>
      </c>
      <c r="S54" s="220">
        <v>35.195115494670773</v>
      </c>
      <c r="T54" s="220">
        <v>36.216014713004228</v>
      </c>
      <c r="U54" s="220">
        <v>35.826425359833564</v>
      </c>
      <c r="V54" s="220">
        <v>36.568238169365515</v>
      </c>
      <c r="W54" s="220">
        <v>37.047488049891072</v>
      </c>
      <c r="X54" s="220">
        <v>33.727208426820411</v>
      </c>
      <c r="Y54" s="220">
        <v>32.479682363499926</v>
      </c>
      <c r="Z54" s="220">
        <v>43.078120011540662</v>
      </c>
      <c r="AA54" s="220">
        <v>42.327549335736464</v>
      </c>
      <c r="AB54" s="220">
        <v>30.030539155805574</v>
      </c>
      <c r="AC54" s="220">
        <v>29.991110284829769</v>
      </c>
      <c r="AD54" s="220">
        <v>28.776897520858768</v>
      </c>
      <c r="AE54" s="220">
        <v>25.486136330587172</v>
      </c>
      <c r="AF54" s="220">
        <v>22.247981936218974</v>
      </c>
    </row>
    <row r="55" spans="1:32">
      <c r="A55" s="21">
        <v>490</v>
      </c>
      <c r="B55" s="21" t="s">
        <v>104</v>
      </c>
      <c r="C55" s="1066">
        <v>16.478473931842689</v>
      </c>
      <c r="D55" s="1066">
        <v>14.140900632804509</v>
      </c>
      <c r="E55" s="1066">
        <v>12.149589326692537</v>
      </c>
      <c r="F55" s="1066">
        <v>16.23824275302286</v>
      </c>
      <c r="G55" s="1066">
        <v>26.013010763797762</v>
      </c>
      <c r="H55" s="1066">
        <v>27.511068593190391</v>
      </c>
      <c r="I55" s="1066">
        <v>24.710980288755291</v>
      </c>
      <c r="J55" s="1066">
        <v>25.981357823755129</v>
      </c>
      <c r="K55" s="1066">
        <v>25.498996241784592</v>
      </c>
      <c r="L55" s="1066">
        <v>25.489739742457985</v>
      </c>
      <c r="M55" s="1066">
        <v>29.503803733338469</v>
      </c>
      <c r="N55" s="209">
        <v>20.380133646960314</v>
      </c>
      <c r="O55" s="209">
        <v>16.678060774631124</v>
      </c>
      <c r="P55" s="209">
        <v>11.327990942569157</v>
      </c>
      <c r="Q55" s="209">
        <v>22.625274478051946</v>
      </c>
      <c r="R55" s="209">
        <v>28.482288884865341</v>
      </c>
      <c r="S55" s="209">
        <v>30.002763375346536</v>
      </c>
      <c r="T55" s="209">
        <v>18.750000300000007</v>
      </c>
      <c r="U55" s="209">
        <v>29.79008827514274</v>
      </c>
      <c r="V55" s="209">
        <v>23.541215553152036</v>
      </c>
      <c r="W55" s="209">
        <v>22.383036232241178</v>
      </c>
      <c r="X55" s="209">
        <v>18.649492961434888</v>
      </c>
      <c r="Y55" s="209">
        <v>21.16486382909887</v>
      </c>
      <c r="Z55" s="209">
        <v>26.133402043816119</v>
      </c>
      <c r="AA55" s="209">
        <v>30.350097736213606</v>
      </c>
      <c r="AB55" s="209">
        <v>34.486474713243958</v>
      </c>
      <c r="AC55" s="209">
        <v>30.677404715724265</v>
      </c>
      <c r="AD55" s="209">
        <v>27.168337049008684</v>
      </c>
      <c r="AE55" s="209">
        <v>23.306255451136135</v>
      </c>
      <c r="AF55" s="209">
        <v>9.617270388230633</v>
      </c>
    </row>
    <row r="56" spans="1:32">
      <c r="A56" s="21">
        <v>816</v>
      </c>
      <c r="B56" s="21" t="s">
        <v>171</v>
      </c>
      <c r="C56" s="1194"/>
      <c r="D56" s="1194"/>
      <c r="E56" s="1194"/>
      <c r="F56" s="1194"/>
      <c r="G56" s="1194"/>
      <c r="H56" s="1194"/>
      <c r="I56" s="1194">
        <v>6.6225390494435734</v>
      </c>
      <c r="J56" s="1194">
        <v>6.0014284564714453</v>
      </c>
      <c r="K56" s="1194">
        <v>3.9452982144695601</v>
      </c>
      <c r="L56" s="1194">
        <v>23.849358298199149</v>
      </c>
      <c r="M56" s="1194">
        <v>36.038615390752099</v>
      </c>
      <c r="N56" s="348">
        <v>30.915039248431817</v>
      </c>
      <c r="O56" s="348">
        <v>34.745596326048897</v>
      </c>
      <c r="P56" s="348">
        <v>28.722781866114449</v>
      </c>
      <c r="Q56" s="348">
        <v>34.013127526909855</v>
      </c>
      <c r="R56" s="348">
        <v>32.812856180146547</v>
      </c>
      <c r="S56" s="348">
        <v>40.868487793939401</v>
      </c>
      <c r="T56" s="348">
        <v>43.102705619762453</v>
      </c>
      <c r="U56" s="348">
        <v>44.848303466492922</v>
      </c>
      <c r="V56" s="348">
        <v>49.966247734747299</v>
      </c>
      <c r="W56" s="348">
        <v>55.032538180147263</v>
      </c>
      <c r="X56" s="348">
        <v>54.612243111709546</v>
      </c>
      <c r="Y56" s="348">
        <v>56.800055463387622</v>
      </c>
      <c r="Z56" s="348">
        <v>59.294017707273547</v>
      </c>
      <c r="AA56" s="348">
        <v>65.736250309307749</v>
      </c>
      <c r="AB56" s="348">
        <v>69.359076561198549</v>
      </c>
      <c r="AC56" s="348">
        <v>73.605052418949242</v>
      </c>
      <c r="AD56" s="348">
        <v>76.895118101974703</v>
      </c>
      <c r="AE56" s="348">
        <v>77.922450469280918</v>
      </c>
      <c r="AF56" s="348">
        <v>68.300460084781022</v>
      </c>
    </row>
    <row r="57" spans="1:32">
      <c r="A57" s="21">
        <v>130</v>
      </c>
      <c r="B57" s="21" t="s">
        <v>27</v>
      </c>
      <c r="C57" s="1077">
        <v>24.951660227246215</v>
      </c>
      <c r="D57" s="1077">
        <v>21.978809621993129</v>
      </c>
      <c r="E57" s="1077">
        <v>21.587808001704492</v>
      </c>
      <c r="F57" s="1077">
        <v>23.795046432994795</v>
      </c>
      <c r="G57" s="1077">
        <v>25.753448858214377</v>
      </c>
      <c r="H57" s="1077">
        <v>28.491762185924657</v>
      </c>
      <c r="I57" s="1077">
        <v>23.221735390263227</v>
      </c>
      <c r="J57" s="1077">
        <v>23.419461077642055</v>
      </c>
      <c r="K57" s="1077">
        <v>27.039808311335651</v>
      </c>
      <c r="L57" s="1077">
        <v>29.045469232957032</v>
      </c>
      <c r="M57" s="1077">
        <v>32.982323212837485</v>
      </c>
      <c r="N57" s="221">
        <v>35.40509705205708</v>
      </c>
      <c r="O57" s="221">
        <v>36.027020072910574</v>
      </c>
      <c r="P57" s="221">
        <v>25.092985334750267</v>
      </c>
      <c r="Q57" s="221">
        <v>24.637914319437265</v>
      </c>
      <c r="R57" s="221">
        <v>25.727868498035967</v>
      </c>
      <c r="S57" s="221">
        <v>26.387060623224439</v>
      </c>
      <c r="T57" s="221">
        <v>25.630392939408452</v>
      </c>
      <c r="U57" s="221">
        <v>21.487853787501169</v>
      </c>
      <c r="V57" s="221">
        <v>31.528127482043921</v>
      </c>
      <c r="W57" s="221">
        <v>37.065393652292556</v>
      </c>
      <c r="X57" s="221">
        <v>26.745707107569245</v>
      </c>
      <c r="Y57" s="221">
        <v>24.665594435482411</v>
      </c>
      <c r="Z57" s="221">
        <v>25.595380960318039</v>
      </c>
      <c r="AA57" s="221">
        <v>27.517937272964694</v>
      </c>
      <c r="AB57" s="221">
        <v>30.87188777178828</v>
      </c>
      <c r="AC57" s="221">
        <v>34.031742755529201</v>
      </c>
      <c r="AD57" s="221">
        <v>35.134987868582783</v>
      </c>
      <c r="AE57" s="221">
        <v>37.799917678934349</v>
      </c>
      <c r="AF57" s="221">
        <v>37.137070672098702</v>
      </c>
    </row>
    <row r="58" spans="1:32">
      <c r="A58" s="21">
        <v>651</v>
      </c>
      <c r="B58" s="21" t="s">
        <v>136</v>
      </c>
      <c r="C58" s="1078">
        <v>30.514637420709366</v>
      </c>
      <c r="D58" s="1078">
        <v>33.371823988820665</v>
      </c>
      <c r="E58" s="1078">
        <v>27.034308655399002</v>
      </c>
      <c r="F58" s="1078">
        <v>25.482002342362893</v>
      </c>
      <c r="G58" s="1078">
        <v>22.351247872444606</v>
      </c>
      <c r="H58" s="1078">
        <v>19.914283112826556</v>
      </c>
      <c r="I58" s="1078">
        <v>15.731566772295253</v>
      </c>
      <c r="J58" s="1078">
        <v>12.558710622548849</v>
      </c>
      <c r="K58" s="1078">
        <v>17.318387245809443</v>
      </c>
      <c r="L58" s="1078">
        <v>17.893479447325845</v>
      </c>
      <c r="M58" s="1078">
        <v>20.047598499568704</v>
      </c>
      <c r="N58" s="222">
        <v>27.81560135729676</v>
      </c>
      <c r="O58" s="222">
        <v>28.396836808051763</v>
      </c>
      <c r="P58" s="222">
        <v>25.837628865979383</v>
      </c>
      <c r="Q58" s="222">
        <v>22.571428571428569</v>
      </c>
      <c r="R58" s="222">
        <v>22.549019607843139</v>
      </c>
      <c r="S58" s="222">
        <v>20.749782040104623</v>
      </c>
      <c r="T58" s="222">
        <v>18.84166980067695</v>
      </c>
      <c r="U58" s="222">
        <v>16.214335421016006</v>
      </c>
      <c r="V58" s="222">
        <v>15.052015604681404</v>
      </c>
      <c r="W58" s="222">
        <v>16.201117318435756</v>
      </c>
      <c r="X58" s="222">
        <v>17.479788123780317</v>
      </c>
      <c r="Y58" s="222">
        <v>18.316178262688574</v>
      </c>
      <c r="Z58" s="222">
        <v>21.796407198993727</v>
      </c>
      <c r="AA58" s="222">
        <v>28.229960700043893</v>
      </c>
      <c r="AB58" s="222">
        <v>30.343547004909162</v>
      </c>
      <c r="AC58" s="222">
        <v>29.94981388754373</v>
      </c>
      <c r="AD58" s="222">
        <v>30.250872784002713</v>
      </c>
      <c r="AE58" s="222">
        <v>33.039303260384102</v>
      </c>
      <c r="AF58" s="222">
        <v>25.04360967671213</v>
      </c>
    </row>
    <row r="59" spans="1:32">
      <c r="A59" s="21">
        <v>411</v>
      </c>
      <c r="B59" s="21" t="s">
        <v>84</v>
      </c>
      <c r="C59" s="1080"/>
      <c r="D59" s="1080"/>
      <c r="E59" s="1080"/>
      <c r="F59" s="1080"/>
      <c r="G59" s="1080"/>
      <c r="H59" s="1080">
        <v>30.093472677387005</v>
      </c>
      <c r="I59" s="1080">
        <v>35.461765344035307</v>
      </c>
      <c r="J59" s="1080">
        <v>37.244337637835265</v>
      </c>
      <c r="K59" s="1080">
        <v>40.174303652924564</v>
      </c>
      <c r="L59" s="1080">
        <v>36.670973953177445</v>
      </c>
      <c r="M59" s="1080">
        <v>32.152448106178312</v>
      </c>
      <c r="N59" s="224">
        <v>48.234457513117249</v>
      </c>
      <c r="O59" s="224">
        <v>1.9457988644041018</v>
      </c>
      <c r="P59" s="224">
        <v>1.9719928396303654</v>
      </c>
      <c r="Q59" s="224">
        <v>56.022340810020211</v>
      </c>
      <c r="R59" s="224">
        <v>55.204200118111714</v>
      </c>
      <c r="S59" s="224">
        <v>77.577721570613917</v>
      </c>
      <c r="T59" s="224">
        <v>100.82216421987411</v>
      </c>
      <c r="U59" s="224">
        <v>101.74786165860917</v>
      </c>
      <c r="V59" s="224"/>
      <c r="W59" s="224">
        <v>98.553415100283033</v>
      </c>
      <c r="X59" s="224">
        <v>101.35425486091751</v>
      </c>
      <c r="Y59" s="224">
        <v>99.618872613695359</v>
      </c>
      <c r="Z59" s="224">
        <v>96.849256361331626</v>
      </c>
      <c r="AA59" s="224">
        <v>90.130554163450057</v>
      </c>
      <c r="AB59" s="224">
        <v>87.418151708428695</v>
      </c>
      <c r="AC59" s="224">
        <v>86.757874026038706</v>
      </c>
      <c r="AD59" s="224">
        <v>81.894533843677507</v>
      </c>
      <c r="AE59" s="224">
        <v>78.26318384892312</v>
      </c>
      <c r="AF59" s="224">
        <v>74.067534988991824</v>
      </c>
    </row>
    <row r="60" spans="1:32">
      <c r="A60" s="21">
        <v>531</v>
      </c>
      <c r="B60" s="21" t="s">
        <v>113</v>
      </c>
      <c r="N60" s="225"/>
      <c r="O60" s="225">
        <v>11.423606347464215</v>
      </c>
      <c r="P60" s="225">
        <v>30.556690918008666</v>
      </c>
      <c r="Q60" s="225">
        <v>28.019662921348313</v>
      </c>
      <c r="R60" s="225">
        <v>22.38801935501311</v>
      </c>
      <c r="S60" s="225">
        <v>29.233770357936763</v>
      </c>
      <c r="T60" s="225">
        <v>29.614822787729683</v>
      </c>
      <c r="U60" s="225">
        <v>14.834482968514525</v>
      </c>
      <c r="V60" s="225">
        <v>9.5344075491854365</v>
      </c>
      <c r="W60" s="225">
        <v>15.118719664174209</v>
      </c>
      <c r="X60" s="225">
        <v>11.825092687116717</v>
      </c>
      <c r="Y60" s="225">
        <v>12.720238161492722</v>
      </c>
      <c r="Z60" s="225">
        <v>7.2721301782247911</v>
      </c>
      <c r="AA60" s="225">
        <v>6.8245632410640464</v>
      </c>
      <c r="AB60" s="225">
        <v>5.7819749226891659</v>
      </c>
      <c r="AC60" s="225">
        <v>6.5226174434014847</v>
      </c>
      <c r="AD60" s="225">
        <v>6.2629307563689602</v>
      </c>
      <c r="AE60" s="225">
        <v>3.7004926767343411</v>
      </c>
      <c r="AF60" s="225">
        <v>4.4894274504357483</v>
      </c>
    </row>
    <row r="61" spans="1:32">
      <c r="A61" s="21">
        <v>366</v>
      </c>
      <c r="B61" s="21" t="s">
        <v>68</v>
      </c>
      <c r="N61" s="226"/>
      <c r="O61" s="226">
        <v>60.252052994771773</v>
      </c>
      <c r="P61" s="226">
        <v>66.608239155488761</v>
      </c>
      <c r="Q61" s="226">
        <v>71.771070578703259</v>
      </c>
      <c r="R61" s="226">
        <v>68.099117952433474</v>
      </c>
      <c r="S61" s="226">
        <v>61.907868104578547</v>
      </c>
      <c r="T61" s="226">
        <v>71.727720617637544</v>
      </c>
      <c r="U61" s="226">
        <v>74.559578674859893</v>
      </c>
      <c r="V61" s="226">
        <v>70.444474554017859</v>
      </c>
      <c r="W61" s="226">
        <v>84.59432544729502</v>
      </c>
      <c r="X61" s="226">
        <v>79.827263827264559</v>
      </c>
      <c r="Y61" s="226">
        <v>70.930837019792847</v>
      </c>
      <c r="Z61" s="226">
        <v>69.19009821867013</v>
      </c>
      <c r="AA61" s="226">
        <v>73.074583277820523</v>
      </c>
      <c r="AB61" s="226">
        <v>77.717961540204811</v>
      </c>
      <c r="AC61" s="226">
        <v>80.147054134604033</v>
      </c>
      <c r="AD61" s="226">
        <v>72.763730999876969</v>
      </c>
      <c r="AE61" s="226">
        <v>75.640217135440849</v>
      </c>
      <c r="AF61" s="226">
        <v>70.599503398390908</v>
      </c>
    </row>
    <row r="62" spans="1:32">
      <c r="A62" s="21">
        <v>530</v>
      </c>
      <c r="B62" s="21" t="s">
        <v>112</v>
      </c>
      <c r="C62" s="1081"/>
      <c r="D62" s="1081">
        <v>7.6320243467746725</v>
      </c>
      <c r="E62" s="1081">
        <v>6.7982632241677292</v>
      </c>
      <c r="F62" s="1081">
        <v>6.4895212044621706</v>
      </c>
      <c r="G62" s="1081">
        <v>7.6154671006782539</v>
      </c>
      <c r="H62" s="1081">
        <v>5.8363771127380542</v>
      </c>
      <c r="I62" s="1081">
        <v>6.8699252072400556</v>
      </c>
      <c r="J62" s="1081">
        <v>5.9674423427957635</v>
      </c>
      <c r="K62" s="1081">
        <v>5.8769349851978454</v>
      </c>
      <c r="L62" s="1081">
        <v>6.6021114863208803</v>
      </c>
      <c r="M62" s="1081">
        <v>5.5602081304339661</v>
      </c>
      <c r="N62" s="227">
        <v>4.0640396459591139</v>
      </c>
      <c r="O62" s="227">
        <v>3.2122252014199373</v>
      </c>
      <c r="P62" s="227">
        <v>5.7821194887595313</v>
      </c>
      <c r="Q62" s="227">
        <v>7.1216170163529737</v>
      </c>
      <c r="R62" s="227">
        <v>9.6890706420628323</v>
      </c>
      <c r="S62" s="227">
        <v>9.2641215241226877</v>
      </c>
      <c r="T62" s="227">
        <v>11.365376696206036</v>
      </c>
      <c r="U62" s="227">
        <v>12.869463932005617</v>
      </c>
      <c r="V62" s="227">
        <v>11.726898278560249</v>
      </c>
      <c r="W62" s="227">
        <v>12.033275717200814</v>
      </c>
      <c r="X62" s="227">
        <v>11.999289546797595</v>
      </c>
      <c r="Y62" s="227">
        <v>12.604309715340026</v>
      </c>
      <c r="Z62" s="227">
        <v>13.317042612828276</v>
      </c>
      <c r="AA62" s="227">
        <v>14.901751925864314</v>
      </c>
      <c r="AB62" s="227">
        <v>15.099637520489409</v>
      </c>
      <c r="AC62" s="227">
        <v>13.882387902807036</v>
      </c>
      <c r="AD62" s="227">
        <v>12.728178646461863</v>
      </c>
      <c r="AE62" s="227">
        <v>11.390228838035995</v>
      </c>
      <c r="AF62" s="227">
        <v>10.555040562586031</v>
      </c>
    </row>
    <row r="63" spans="1:32">
      <c r="A63" s="21">
        <v>860</v>
      </c>
      <c r="B63" s="21" t="s">
        <v>197</v>
      </c>
    </row>
    <row r="64" spans="1:32">
      <c r="A64" s="21">
        <v>950</v>
      </c>
      <c r="B64" s="21" t="s">
        <v>184</v>
      </c>
      <c r="C64" s="1082">
        <v>47.778799444175313</v>
      </c>
      <c r="D64" s="1082">
        <v>43.022154894906265</v>
      </c>
      <c r="E64" s="1082">
        <v>43.231834531050666</v>
      </c>
      <c r="F64" s="1082">
        <v>43.608839440583324</v>
      </c>
      <c r="G64" s="1082">
        <v>42.829148278836357</v>
      </c>
      <c r="H64" s="1082">
        <v>44.360045575389293</v>
      </c>
      <c r="I64" s="1082">
        <v>41.663807347608952</v>
      </c>
      <c r="J64" s="1082">
        <v>45.318045318045321</v>
      </c>
      <c r="K64" s="1082">
        <v>54.295800453514744</v>
      </c>
      <c r="L64" s="1082">
        <v>62.66962096679034</v>
      </c>
      <c r="M64" s="1082">
        <v>62.343434343434346</v>
      </c>
      <c r="N64" s="228">
        <v>57.311459353574925</v>
      </c>
      <c r="O64" s="228">
        <v>51.917647569821476</v>
      </c>
      <c r="P64" s="228">
        <v>52.37755304382312</v>
      </c>
      <c r="Q64" s="228">
        <v>56.421194431971266</v>
      </c>
      <c r="R64" s="228">
        <v>59.291205023638526</v>
      </c>
      <c r="S64" s="228">
        <v>62.848058902275774</v>
      </c>
      <c r="T64" s="228">
        <v>61.039992061129297</v>
      </c>
      <c r="U64" s="228">
        <v>60.804447549898235</v>
      </c>
      <c r="V64" s="228">
        <v>61.022664889028313</v>
      </c>
      <c r="W64" s="228">
        <v>65.158519480606429</v>
      </c>
      <c r="X64" s="228">
        <v>60.673828494500036</v>
      </c>
      <c r="Y64" s="228">
        <v>61.484715550369714</v>
      </c>
      <c r="Z64" s="228">
        <v>59.867201178166475</v>
      </c>
      <c r="AA64" s="228">
        <v>53.814761454439285</v>
      </c>
      <c r="AB64" s="228">
        <v>52.909189178132522</v>
      </c>
      <c r="AC64" s="228">
        <v>49.831833618606169</v>
      </c>
      <c r="AD64" s="228">
        <v>48.280615186189408</v>
      </c>
      <c r="AE64" s="228">
        <v>54.125201150461862</v>
      </c>
      <c r="AF64" s="228">
        <v>47.082981245993253</v>
      </c>
    </row>
    <row r="65" spans="1:32">
      <c r="A65" s="21">
        <v>375</v>
      </c>
      <c r="B65" s="21" t="s">
        <v>76</v>
      </c>
      <c r="C65" s="1083">
        <v>31.209386281588447</v>
      </c>
      <c r="D65" s="1083">
        <v>31.702512776831345</v>
      </c>
      <c r="E65" s="1083">
        <v>29.236847085541257</v>
      </c>
      <c r="F65" s="1083">
        <v>29.117984450014873</v>
      </c>
      <c r="G65" s="1083">
        <v>29.942064773482763</v>
      </c>
      <c r="H65" s="1083">
        <v>28.464667982050251</v>
      </c>
      <c r="I65" s="1083">
        <v>25.856920280446637</v>
      </c>
      <c r="J65" s="1083">
        <v>25.174362674362676</v>
      </c>
      <c r="K65" s="1083">
        <v>24.005998513642638</v>
      </c>
      <c r="L65" s="1083">
        <v>23.398798356645848</v>
      </c>
      <c r="M65" s="1083">
        <v>22.53642584359006</v>
      </c>
      <c r="N65" s="229">
        <v>21.665218718448426</v>
      </c>
      <c r="O65" s="229">
        <v>25.9789565028745</v>
      </c>
      <c r="P65" s="229">
        <v>31.825821601840481</v>
      </c>
      <c r="Q65" s="229">
        <v>34.819963098377912</v>
      </c>
      <c r="R65" s="229">
        <v>36.502198237242936</v>
      </c>
      <c r="S65" s="229">
        <v>37.2512996517438</v>
      </c>
      <c r="T65" s="229">
        <v>38.785038019979126</v>
      </c>
      <c r="U65" s="229">
        <v>38.603837045680748</v>
      </c>
      <c r="V65" s="229">
        <v>38.862888841616076</v>
      </c>
      <c r="W65" s="229">
        <v>43.604571947619405</v>
      </c>
      <c r="X65" s="229">
        <v>41.534361125878242</v>
      </c>
      <c r="Y65" s="229">
        <v>40.557053385443879</v>
      </c>
      <c r="Z65" s="229">
        <v>38.730951202068546</v>
      </c>
      <c r="AA65" s="229">
        <v>39.892736020190867</v>
      </c>
      <c r="AB65" s="229">
        <v>41.793435765731978</v>
      </c>
      <c r="AC65" s="229">
        <v>45.527429471815893</v>
      </c>
      <c r="AD65" s="229">
        <v>45.844231004663278</v>
      </c>
      <c r="AE65" s="229">
        <v>46.955033604297888</v>
      </c>
      <c r="AF65" s="229">
        <v>37.369173744272253</v>
      </c>
    </row>
    <row r="66" spans="1:32">
      <c r="A66" s="21">
        <v>220</v>
      </c>
      <c r="B66" s="21" t="s">
        <v>40</v>
      </c>
      <c r="C66" s="1084">
        <v>21.032740044792273</v>
      </c>
      <c r="D66" s="1084">
        <v>22.073590002823533</v>
      </c>
      <c r="E66" s="1084">
        <v>21.499202535175666</v>
      </c>
      <c r="F66" s="1084">
        <v>22.448898647973952</v>
      </c>
      <c r="G66" s="1084">
        <v>23.887896534457084</v>
      </c>
      <c r="H66" s="1084">
        <v>23.404562188090452</v>
      </c>
      <c r="I66" s="1084">
        <v>20.46449411796025</v>
      </c>
      <c r="J66" s="1084">
        <v>19.714182914240709</v>
      </c>
      <c r="K66" s="1084">
        <v>20.477449844293851</v>
      </c>
      <c r="L66" s="1084">
        <v>21.799236974596504</v>
      </c>
      <c r="M66" s="1084">
        <v>21.249514000295751</v>
      </c>
      <c r="N66" s="230">
        <v>21.584056793117139</v>
      </c>
      <c r="O66" s="230">
        <v>21.586274284505311</v>
      </c>
      <c r="P66" s="230">
        <v>21.031198930430346</v>
      </c>
      <c r="Q66" s="230">
        <v>21.849221829249249</v>
      </c>
      <c r="R66" s="230">
        <v>22.775396255251778</v>
      </c>
      <c r="S66" s="230">
        <v>23.1908516660509</v>
      </c>
      <c r="T66" s="230">
        <v>25.702181986497273</v>
      </c>
      <c r="U66" s="230">
        <v>26.24183940966336</v>
      </c>
      <c r="V66" s="230">
        <v>26.142316402600652</v>
      </c>
      <c r="W66" s="230">
        <v>28.565144875854394</v>
      </c>
      <c r="X66" s="230">
        <v>28.119838229744488</v>
      </c>
      <c r="Y66" s="230">
        <v>27.118636406198039</v>
      </c>
      <c r="Z66" s="230">
        <v>25.565802657864804</v>
      </c>
      <c r="AA66" s="230">
        <v>25.708578962997585</v>
      </c>
      <c r="AB66" s="230">
        <v>26.057084657151396</v>
      </c>
      <c r="AC66" s="230">
        <v>26.740083647839409</v>
      </c>
      <c r="AD66" s="230">
        <v>26.532910107403428</v>
      </c>
      <c r="AE66" s="230">
        <v>26.681399283863421</v>
      </c>
      <c r="AF66" s="230">
        <v>23.049847123053262</v>
      </c>
    </row>
    <row r="67" spans="1:32">
      <c r="A67" s="21">
        <v>987</v>
      </c>
      <c r="B67" s="21" t="s">
        <v>189</v>
      </c>
      <c r="C67" s="1131"/>
      <c r="D67" s="1131"/>
      <c r="E67" s="1131"/>
      <c r="F67" s="1131">
        <v>3.3802816901408446</v>
      </c>
      <c r="G67" s="1131"/>
      <c r="H67" s="1131"/>
      <c r="I67" s="1131"/>
      <c r="J67" s="1131"/>
      <c r="K67" s="1131"/>
      <c r="L67" s="1131"/>
      <c r="M67" s="1131"/>
    </row>
    <row r="68" spans="1:32">
      <c r="A68" s="21">
        <v>481</v>
      </c>
      <c r="B68" s="21" t="s">
        <v>100</v>
      </c>
      <c r="C68" s="1085">
        <v>64.72019464720195</v>
      </c>
      <c r="D68" s="1085">
        <v>63.363506431634107</v>
      </c>
      <c r="E68" s="1085">
        <v>61.594751450921017</v>
      </c>
      <c r="F68" s="1085">
        <v>61.324769790296372</v>
      </c>
      <c r="G68" s="1085">
        <v>59.092661611618048</v>
      </c>
      <c r="H68" s="1085">
        <v>62.572475841386201</v>
      </c>
      <c r="I68" s="1085">
        <v>35.191312462882834</v>
      </c>
      <c r="J68" s="1085">
        <v>42.694920387448242</v>
      </c>
      <c r="K68" s="1085">
        <v>36.730583970742366</v>
      </c>
      <c r="L68" s="1085">
        <v>45.795582178959194</v>
      </c>
      <c r="M68" s="1085">
        <v>46.038504257682341</v>
      </c>
      <c r="N68" s="231">
        <v>47.263459292217362</v>
      </c>
      <c r="O68" s="231">
        <v>46.075552858489381</v>
      </c>
      <c r="P68" s="231">
        <v>48.794613512899453</v>
      </c>
      <c r="Q68" s="231">
        <v>61.675639977251997</v>
      </c>
      <c r="R68" s="231">
        <v>59.386999030381382</v>
      </c>
      <c r="S68" s="231">
        <v>62.663244987640752</v>
      </c>
      <c r="T68" s="231">
        <v>61.304010806985943</v>
      </c>
      <c r="U68" s="231">
        <v>47.406351606805295</v>
      </c>
      <c r="V68" s="231">
        <v>59.612504353883665</v>
      </c>
      <c r="W68" s="231">
        <v>69.032176708608176</v>
      </c>
      <c r="X68" s="231">
        <v>59.032130141546304</v>
      </c>
      <c r="Y68" s="231">
        <v>53.564005585942041</v>
      </c>
      <c r="Z68" s="231">
        <v>55.33517092438408</v>
      </c>
      <c r="AA68" s="231">
        <v>62.2035443171198</v>
      </c>
      <c r="AB68" s="231">
        <v>64.738257235992918</v>
      </c>
      <c r="AC68" s="231">
        <v>61.931012890525295</v>
      </c>
      <c r="AD68" s="231">
        <v>62.247795946906948</v>
      </c>
      <c r="AE68" s="231">
        <v>66.567214087167841</v>
      </c>
      <c r="AF68" s="231">
        <v>52.190502627942536</v>
      </c>
    </row>
    <row r="69" spans="1:32">
      <c r="A69" s="21">
        <v>420</v>
      </c>
      <c r="B69" s="21" t="s">
        <v>85</v>
      </c>
      <c r="C69" s="1086">
        <v>42.736207122480735</v>
      </c>
      <c r="D69" s="1086">
        <v>43.961095945987658</v>
      </c>
      <c r="E69" s="1086">
        <v>44.334387881232068</v>
      </c>
      <c r="F69" s="1086">
        <v>50.488295399057336</v>
      </c>
      <c r="G69" s="1086">
        <v>51.12494398993077</v>
      </c>
      <c r="H69" s="1086">
        <v>43.864853865991222</v>
      </c>
      <c r="I69" s="1086">
        <v>46.62414934660859</v>
      </c>
      <c r="J69" s="1086">
        <v>49.418087134802661</v>
      </c>
      <c r="K69" s="1086">
        <v>50.365715304591276</v>
      </c>
      <c r="L69" s="1086">
        <v>55.059981450946594</v>
      </c>
      <c r="M69" s="1086">
        <v>59.902736801289969</v>
      </c>
      <c r="N69" s="232">
        <v>63.643043508156502</v>
      </c>
      <c r="O69" s="232">
        <v>62.944852937823946</v>
      </c>
      <c r="P69" s="232">
        <v>58.005405796788637</v>
      </c>
      <c r="Q69" s="232">
        <v>43.700764700926854</v>
      </c>
      <c r="R69" s="232">
        <v>48.918678145363735</v>
      </c>
      <c r="S69" s="232">
        <v>47.229234063941988</v>
      </c>
      <c r="T69" s="232">
        <v>44.989631668336457</v>
      </c>
      <c r="U69" s="232">
        <v>51.047431306994596</v>
      </c>
      <c r="V69" s="232">
        <v>46.019131694546367</v>
      </c>
      <c r="W69" s="232">
        <v>47.987187466529249</v>
      </c>
      <c r="X69" s="232">
        <v>35.891878205108654</v>
      </c>
      <c r="Y69" s="232">
        <v>42.471910249712529</v>
      </c>
      <c r="Z69" s="232">
        <v>43.094204607937257</v>
      </c>
      <c r="AA69" s="232">
        <v>46.024077766699904</v>
      </c>
      <c r="AB69" s="232">
        <v>40.02368301199332</v>
      </c>
      <c r="AC69" s="232">
        <v>39.849376840039255</v>
      </c>
      <c r="AD69" s="232">
        <v>32.920151309288535</v>
      </c>
      <c r="AE69" s="232">
        <v>29.638717105263158</v>
      </c>
      <c r="AF69" s="232">
        <v>30.44474320241692</v>
      </c>
    </row>
    <row r="70" spans="1:32">
      <c r="A70" s="21">
        <v>265</v>
      </c>
      <c r="B70" s="21" t="s">
        <v>403</v>
      </c>
    </row>
    <row r="71" spans="1:32">
      <c r="A71" s="21">
        <v>452</v>
      </c>
      <c r="B71" s="21" t="s">
        <v>96</v>
      </c>
      <c r="C71" s="1089">
        <v>8.4663493458271599</v>
      </c>
      <c r="D71" s="1089">
        <v>4.7558724689325871</v>
      </c>
      <c r="E71" s="1089">
        <v>3.3383072662717819</v>
      </c>
      <c r="F71" s="1089">
        <v>5.555918085518929</v>
      </c>
      <c r="G71" s="1089">
        <v>8.044013276707334</v>
      </c>
      <c r="H71" s="1089">
        <v>10.654432269232364</v>
      </c>
      <c r="I71" s="1089">
        <v>16.576049903898866</v>
      </c>
      <c r="J71" s="1089">
        <v>19.66260908646948</v>
      </c>
      <c r="K71" s="1089">
        <v>18.183422695467534</v>
      </c>
      <c r="L71" s="1089">
        <v>16.742618602476675</v>
      </c>
      <c r="M71" s="1089">
        <v>16.877904189675849</v>
      </c>
      <c r="N71" s="235">
        <v>16.963526520227767</v>
      </c>
      <c r="O71" s="235">
        <v>17.225939523686602</v>
      </c>
      <c r="P71" s="235">
        <v>20.253930023157846</v>
      </c>
      <c r="Q71" s="235">
        <v>25.25863644892738</v>
      </c>
      <c r="R71" s="235">
        <v>24.496440535697459</v>
      </c>
      <c r="S71" s="235">
        <v>32.112180671867321</v>
      </c>
      <c r="T71" s="235">
        <v>32.410293996656442</v>
      </c>
      <c r="U71" s="235">
        <v>33.871352192783995</v>
      </c>
      <c r="V71" s="235">
        <v>32.078339201474208</v>
      </c>
      <c r="W71" s="235">
        <v>48.802258800447838</v>
      </c>
      <c r="X71" s="235">
        <v>45.233016406340312</v>
      </c>
      <c r="Y71" s="235">
        <v>42.616252452841671</v>
      </c>
      <c r="Z71" s="235">
        <v>40.679042276031211</v>
      </c>
      <c r="AA71" s="235">
        <v>39.303325286670699</v>
      </c>
      <c r="AB71" s="235">
        <v>36.449216950713961</v>
      </c>
      <c r="AC71" s="235">
        <v>25.192717034934571</v>
      </c>
      <c r="AD71" s="235">
        <v>24.525002320731645</v>
      </c>
      <c r="AE71" s="235">
        <v>25.029429729361663</v>
      </c>
      <c r="AF71" s="235">
        <v>30.501688043920854</v>
      </c>
    </row>
    <row r="72" spans="1:32">
      <c r="A72" s="21">
        <v>255</v>
      </c>
      <c r="B72" s="21" t="s">
        <v>47</v>
      </c>
      <c r="C72" s="1088">
        <v>20.222984236030676</v>
      </c>
      <c r="D72" s="1088">
        <v>21.866793310592612</v>
      </c>
      <c r="E72" s="1088">
        <v>22.665204784653874</v>
      </c>
      <c r="F72" s="1088">
        <v>22.036832378035932</v>
      </c>
      <c r="G72" s="1088">
        <v>23.59435837069228</v>
      </c>
      <c r="H72" s="1088">
        <v>24.912170837784675</v>
      </c>
      <c r="I72" s="1088">
        <v>23.118217361118621</v>
      </c>
      <c r="J72" s="1088">
        <v>22.462145723552492</v>
      </c>
      <c r="K72" s="1088">
        <v>22.904215728623349</v>
      </c>
      <c r="L72" s="1088">
        <v>24.21778848252869</v>
      </c>
      <c r="M72" s="1088">
        <v>24.800129369514629</v>
      </c>
      <c r="N72" s="234">
        <v>25.772188192362833</v>
      </c>
      <c r="O72" s="234">
        <v>24.075378654455797</v>
      </c>
      <c r="P72" s="234">
        <v>22.283208508177079</v>
      </c>
      <c r="Q72" s="234">
        <v>23.093812823594156</v>
      </c>
      <c r="R72" s="234">
        <v>23.954664719088967</v>
      </c>
      <c r="S72" s="234">
        <v>24.895798910552291</v>
      </c>
      <c r="T72" s="234">
        <v>27.472097223817332</v>
      </c>
      <c r="U72" s="234">
        <v>28.658071212691695</v>
      </c>
      <c r="V72" s="234">
        <v>29.398111332007954</v>
      </c>
      <c r="W72" s="234">
        <v>33.37648484848485</v>
      </c>
      <c r="X72" s="234">
        <v>34.810426091729923</v>
      </c>
      <c r="Y72" s="234">
        <v>35.727283755914115</v>
      </c>
      <c r="Z72" s="234">
        <v>35.646085590165441</v>
      </c>
      <c r="AA72" s="234">
        <v>38.442263331674887</v>
      </c>
      <c r="AB72" s="234">
        <v>41.112300419231111</v>
      </c>
      <c r="AC72" s="234">
        <v>45.3685794111326</v>
      </c>
      <c r="AD72" s="234">
        <v>46.917447788192732</v>
      </c>
      <c r="AE72" s="234">
        <v>47.471787844591326</v>
      </c>
      <c r="AF72" s="234">
        <v>40.832255642234365</v>
      </c>
    </row>
    <row r="73" spans="1:32">
      <c r="A73" s="21">
        <v>404</v>
      </c>
      <c r="B73" s="21" t="s">
        <v>83</v>
      </c>
      <c r="C73" s="1094">
        <v>12.687595156963713</v>
      </c>
      <c r="D73" s="1094">
        <v>11.193132504309244</v>
      </c>
      <c r="E73" s="1094">
        <v>7.8402171524991795</v>
      </c>
      <c r="F73" s="1094">
        <v>6.0091638504979343</v>
      </c>
      <c r="G73" s="1094">
        <v>13.40119775496286</v>
      </c>
      <c r="H73" s="1094">
        <v>9.7580053461756773</v>
      </c>
      <c r="I73" s="1094">
        <v>5.2352248829318642</v>
      </c>
      <c r="J73" s="1094">
        <v>11.367004992700668</v>
      </c>
      <c r="K73" s="1094">
        <v>12.440894792955168</v>
      </c>
      <c r="L73" s="1094">
        <v>8.8907194235170266</v>
      </c>
      <c r="M73" s="1094">
        <v>9.9359889933035355</v>
      </c>
      <c r="N73" s="240">
        <v>9.9824873566566552</v>
      </c>
      <c r="O73" s="240">
        <v>4.9024898431865971</v>
      </c>
      <c r="P73" s="240">
        <v>8.8694363601486934</v>
      </c>
      <c r="Q73" s="240">
        <v>16.454407752448468</v>
      </c>
      <c r="R73" s="240">
        <v>11.66716967029355</v>
      </c>
      <c r="S73" s="240">
        <v>10.524404022006415</v>
      </c>
      <c r="T73" s="240">
        <v>21.016763238675235</v>
      </c>
      <c r="U73" s="240">
        <v>14.443697612732104</v>
      </c>
      <c r="V73" s="240">
        <v>24.861176647388483</v>
      </c>
      <c r="W73" s="240">
        <v>31.775291231710494</v>
      </c>
      <c r="X73" s="240">
        <v>28.605694675663706</v>
      </c>
      <c r="Y73" s="240">
        <v>29.819095043347932</v>
      </c>
      <c r="Z73" s="240"/>
      <c r="AA73" s="240"/>
      <c r="AB73" s="240"/>
      <c r="AC73" s="240"/>
      <c r="AD73" s="240"/>
      <c r="AE73" s="240"/>
      <c r="AF73" s="240"/>
    </row>
    <row r="74" spans="1:32">
      <c r="A74" s="21">
        <v>350</v>
      </c>
      <c r="B74" s="21" t="s">
        <v>62</v>
      </c>
      <c r="C74" s="1090">
        <v>22.927719849395597</v>
      </c>
      <c r="D74" s="1090">
        <v>25.378267295545509</v>
      </c>
      <c r="E74" s="1090">
        <v>20.418334285669285</v>
      </c>
      <c r="F74" s="1090">
        <v>19.548682835594601</v>
      </c>
      <c r="G74" s="1090">
        <v>19.934080742176409</v>
      </c>
      <c r="H74" s="1090">
        <v>19.14250009616222</v>
      </c>
      <c r="I74" s="1090">
        <v>20.994276108923312</v>
      </c>
      <c r="J74" s="1090">
        <v>21.503936329985212</v>
      </c>
      <c r="K74" s="1090">
        <v>19.35699542698843</v>
      </c>
      <c r="L74" s="1090">
        <v>18.919388137453964</v>
      </c>
      <c r="M74" s="1090">
        <v>17.534567265449567</v>
      </c>
      <c r="N74" s="236">
        <v>16.847652447559796</v>
      </c>
      <c r="O74" s="236">
        <v>17.653512647961652</v>
      </c>
      <c r="P74" s="236">
        <v>16.667458709192662</v>
      </c>
      <c r="Q74" s="236">
        <v>17.139491866769855</v>
      </c>
      <c r="R74" s="236">
        <v>17.115375756502377</v>
      </c>
      <c r="S74" s="236">
        <v>17.022735175279674</v>
      </c>
      <c r="T74" s="236">
        <v>19.131166679469484</v>
      </c>
      <c r="U74" s="236">
        <v>19.285124810605641</v>
      </c>
      <c r="V74" s="236">
        <v>21.78561647951441</v>
      </c>
      <c r="W74" s="236">
        <v>24.861918968618912</v>
      </c>
      <c r="X74" s="236">
        <v>24.02984959927241</v>
      </c>
      <c r="Y74" s="236">
        <v>21.073247159771004</v>
      </c>
      <c r="Z74" s="236">
        <v>20.013112717738725</v>
      </c>
      <c r="AA74" s="236">
        <v>22.287155363489234</v>
      </c>
      <c r="AB74" s="236">
        <v>22.366608105139477</v>
      </c>
      <c r="AC74" s="236">
        <v>22.586523671762965</v>
      </c>
      <c r="AD74" s="236">
        <v>22.717688113965139</v>
      </c>
      <c r="AE74" s="236">
        <v>23.219735311177956</v>
      </c>
      <c r="AF74" s="236">
        <v>18.647438362922856</v>
      </c>
    </row>
    <row r="75" spans="1:32">
      <c r="A75" s="21">
        <v>372</v>
      </c>
      <c r="B75" s="21" t="s">
        <v>74</v>
      </c>
      <c r="C75" s="1087"/>
      <c r="D75" s="1087"/>
      <c r="E75" s="1087"/>
      <c r="F75" s="1087"/>
      <c r="G75" s="1087"/>
      <c r="H75" s="1087"/>
      <c r="I75" s="1087"/>
      <c r="J75" s="1087">
        <v>41.561181434599156</v>
      </c>
      <c r="K75" s="1087">
        <v>42.535787321063395</v>
      </c>
      <c r="L75" s="1087">
        <v>42.369337979094077</v>
      </c>
      <c r="M75" s="1087">
        <v>39.946559786239142</v>
      </c>
      <c r="N75" s="233">
        <v>27.780678851174933</v>
      </c>
      <c r="O75" s="233">
        <v>35.672161908591342</v>
      </c>
      <c r="P75" s="233">
        <v>46.888741164488408</v>
      </c>
      <c r="Q75" s="233">
        <v>57.772098582835916</v>
      </c>
      <c r="R75" s="233">
        <v>25.501894841431689</v>
      </c>
      <c r="S75" s="233">
        <v>13.326288938979117</v>
      </c>
      <c r="T75" s="233">
        <v>15.610131683125623</v>
      </c>
      <c r="U75" s="233">
        <v>16.458724527288155</v>
      </c>
      <c r="V75" s="233">
        <v>19.055605899091773</v>
      </c>
      <c r="W75" s="233">
        <v>22.994630067357583</v>
      </c>
      <c r="X75" s="233">
        <v>24.461373294941183</v>
      </c>
      <c r="Y75" s="233">
        <v>29.229174163067441</v>
      </c>
      <c r="Z75" s="233">
        <v>31.837617343168922</v>
      </c>
      <c r="AA75" s="233">
        <v>31.555750093904699</v>
      </c>
      <c r="AB75" s="233">
        <v>33.748271426503237</v>
      </c>
      <c r="AC75" s="233">
        <v>32.865566601469098</v>
      </c>
      <c r="AD75" s="233">
        <v>31.205715636718701</v>
      </c>
      <c r="AE75" s="233">
        <v>28.619972205276767</v>
      </c>
      <c r="AF75" s="233">
        <v>29.526608753353678</v>
      </c>
    </row>
    <row r="76" spans="1:32">
      <c r="A76" s="21">
        <v>55</v>
      </c>
      <c r="B76" s="21" t="s">
        <v>10</v>
      </c>
      <c r="C76" s="1091">
        <v>47.351169383416021</v>
      </c>
      <c r="D76" s="1091">
        <v>44.711335861778338</v>
      </c>
      <c r="E76" s="1091">
        <v>40.214685749844428</v>
      </c>
      <c r="F76" s="1091">
        <v>38.533316439663842</v>
      </c>
      <c r="G76" s="1091">
        <v>37.945300208144772</v>
      </c>
      <c r="H76" s="1091">
        <v>43.042437786864852</v>
      </c>
      <c r="I76" s="1091">
        <v>53.005167173102194</v>
      </c>
      <c r="J76" s="1091">
        <v>47.993444365698082</v>
      </c>
      <c r="K76" s="1091">
        <v>47.045600513808608</v>
      </c>
      <c r="L76" s="1091">
        <v>40.276039493811709</v>
      </c>
      <c r="M76" s="1091">
        <v>42.428254249278872</v>
      </c>
      <c r="N76" s="237">
        <v>40.710474671899917</v>
      </c>
      <c r="O76" s="237">
        <v>39.58551576694429</v>
      </c>
      <c r="P76" s="237">
        <v>49.029154904444219</v>
      </c>
      <c r="Q76" s="237">
        <v>48.056027164685908</v>
      </c>
      <c r="R76" s="237">
        <v>44.806970509383376</v>
      </c>
      <c r="S76" s="237">
        <v>44.662878978329729</v>
      </c>
      <c r="T76" s="237">
        <v>43.967253617032917</v>
      </c>
      <c r="U76" s="237">
        <v>46.185611823516624</v>
      </c>
      <c r="V76" s="237">
        <v>57.434180409738232</v>
      </c>
      <c r="W76" s="237">
        <v>54.873673803126053</v>
      </c>
      <c r="X76" s="237">
        <v>45.712131131727496</v>
      </c>
      <c r="Y76" s="237">
        <v>38.940431415465447</v>
      </c>
      <c r="Z76" s="237">
        <v>36.610885540282254</v>
      </c>
      <c r="AA76" s="237">
        <v>40.963099801645185</v>
      </c>
      <c r="AB76" s="237">
        <v>25.935764188060713</v>
      </c>
      <c r="AC76" s="237">
        <v>27.52788078497943</v>
      </c>
      <c r="AD76" s="237">
        <v>30.033581706381451</v>
      </c>
      <c r="AE76" s="237">
        <v>26.018639341049692</v>
      </c>
      <c r="AF76" s="237">
        <v>26.844276830681203</v>
      </c>
    </row>
    <row r="77" spans="1:32">
      <c r="A77" s="21">
        <v>90</v>
      </c>
      <c r="B77" s="21" t="s">
        <v>17</v>
      </c>
      <c r="C77" s="1092">
        <v>22.186401219748834</v>
      </c>
      <c r="D77" s="1092">
        <v>17.089747485117947</v>
      </c>
      <c r="E77" s="1092">
        <v>14.787197238947241</v>
      </c>
      <c r="F77" s="1092">
        <v>12.994474586753785</v>
      </c>
      <c r="G77" s="1092">
        <v>13.002111418767658</v>
      </c>
      <c r="H77" s="1092">
        <v>11.948229192303153</v>
      </c>
      <c r="I77" s="1092">
        <v>16.051899756620585</v>
      </c>
      <c r="J77" s="1092">
        <v>15.848908220897231</v>
      </c>
      <c r="K77" s="1092">
        <v>16.103675155790555</v>
      </c>
      <c r="L77" s="1092">
        <v>17.307448862257761</v>
      </c>
      <c r="M77" s="1092">
        <v>21.027520942380754</v>
      </c>
      <c r="N77" s="238">
        <v>17.9526059616575</v>
      </c>
      <c r="O77" s="238">
        <v>18.065989430090276</v>
      </c>
      <c r="P77" s="238">
        <v>17.703031106822039</v>
      </c>
      <c r="Q77" s="238">
        <v>17.519944947999193</v>
      </c>
      <c r="R77" s="238">
        <v>19.259044030749294</v>
      </c>
      <c r="S77" s="238">
        <v>17.810117299141844</v>
      </c>
      <c r="T77" s="238">
        <v>17.956108023015354</v>
      </c>
      <c r="U77" s="238">
        <v>18.1716066211</v>
      </c>
      <c r="V77" s="238">
        <v>19.004924125361075</v>
      </c>
      <c r="W77" s="238">
        <v>20.19503439569268</v>
      </c>
      <c r="X77" s="238">
        <v>28.207457180608227</v>
      </c>
      <c r="Y77" s="238">
        <v>26.298961028092361</v>
      </c>
      <c r="Z77" s="238">
        <v>25.773697585841749</v>
      </c>
      <c r="AA77" s="238">
        <v>26.975516185929326</v>
      </c>
      <c r="AB77" s="238">
        <v>25.054674626400082</v>
      </c>
      <c r="AC77" s="238">
        <v>24.93172308440667</v>
      </c>
      <c r="AD77" s="238">
        <v>25.565279047494251</v>
      </c>
      <c r="AE77" s="238">
        <v>24.715835834509711</v>
      </c>
      <c r="AF77" s="238">
        <v>23.368547325169082</v>
      </c>
    </row>
    <row r="78" spans="1:32">
      <c r="A78" s="21">
        <v>438</v>
      </c>
      <c r="B78" s="21" t="s">
        <v>92</v>
      </c>
      <c r="C78" s="1093"/>
      <c r="D78" s="1093"/>
      <c r="E78" s="1093"/>
      <c r="F78" s="1093"/>
      <c r="G78" s="1093"/>
      <c r="H78" s="1093"/>
      <c r="I78" s="1093">
        <v>31.091899878618158</v>
      </c>
      <c r="J78" s="1093">
        <v>31.631352987673544</v>
      </c>
      <c r="K78" s="1093">
        <v>26.872585495194919</v>
      </c>
      <c r="L78" s="1093">
        <v>31.093600764222174</v>
      </c>
      <c r="M78" s="1093">
        <v>31.075235794553347</v>
      </c>
      <c r="N78" s="239">
        <v>30.330878918594877</v>
      </c>
      <c r="O78" s="239">
        <v>24.874613540617201</v>
      </c>
      <c r="P78" s="239">
        <v>26.518473921076701</v>
      </c>
      <c r="Q78" s="239">
        <v>22.752327353212351</v>
      </c>
      <c r="R78" s="239">
        <v>21.118808337281145</v>
      </c>
      <c r="S78" s="239">
        <v>19.195099067328254</v>
      </c>
      <c r="T78" s="239">
        <v>19.561087481062241</v>
      </c>
      <c r="U78" s="239">
        <v>21.286702210217094</v>
      </c>
      <c r="V78" s="239">
        <v>21.639519951006605</v>
      </c>
      <c r="W78" s="239">
        <v>23.601907813662688</v>
      </c>
      <c r="X78" s="239">
        <v>28.002911053126724</v>
      </c>
      <c r="Y78" s="239">
        <v>25.710545068858654</v>
      </c>
      <c r="Z78" s="239">
        <v>25.094651288573139</v>
      </c>
      <c r="AA78" s="239">
        <v>23.502948134890961</v>
      </c>
      <c r="AB78" s="239">
        <v>33.829739526888147</v>
      </c>
      <c r="AC78" s="239">
        <v>39.279988339892149</v>
      </c>
      <c r="AD78" s="239">
        <v>30.110519522426589</v>
      </c>
      <c r="AE78" s="239">
        <v>33.334777168158631</v>
      </c>
      <c r="AF78" s="239">
        <v>40.716585450279986</v>
      </c>
    </row>
    <row r="79" spans="1:32">
      <c r="A79" s="21">
        <v>110</v>
      </c>
      <c r="B79" s="21" t="s">
        <v>25</v>
      </c>
      <c r="C79" s="1095">
        <v>81.28646790450928</v>
      </c>
      <c r="D79" s="1095">
        <v>68.922985354459016</v>
      </c>
      <c r="E79" s="1095">
        <v>52.780082987551872</v>
      </c>
      <c r="F79" s="1095">
        <v>45.878748773841963</v>
      </c>
      <c r="G79" s="1095">
        <v>44.161152840460744</v>
      </c>
      <c r="H79" s="1095">
        <v>48.087177846153843</v>
      </c>
      <c r="I79" s="1095">
        <v>46.304150196742498</v>
      </c>
      <c r="J79" s="1095">
        <v>79.568342016583046</v>
      </c>
      <c r="K79" s="1095">
        <v>63.629773258726672</v>
      </c>
      <c r="L79" s="1095">
        <v>66.340761051121689</v>
      </c>
      <c r="M79" s="1095">
        <v>62.706670368275908</v>
      </c>
      <c r="N79" s="241">
        <v>105.90765611619912</v>
      </c>
      <c r="O79" s="241">
        <v>127.55530804592121</v>
      </c>
      <c r="P79" s="241">
        <v>117.37998124136737</v>
      </c>
      <c r="Q79" s="241">
        <v>104.95197468554606</v>
      </c>
      <c r="R79" s="241">
        <v>101.21056838581013</v>
      </c>
      <c r="S79" s="241">
        <v>102.62130924102308</v>
      </c>
      <c r="T79" s="241">
        <v>99.660065563336872</v>
      </c>
      <c r="U79" s="241">
        <v>95.932754938281249</v>
      </c>
      <c r="V79" s="241">
        <v>96.508471713205466</v>
      </c>
      <c r="W79" s="241">
        <v>96.079973253699322</v>
      </c>
      <c r="X79" s="241">
        <v>94.993269116566296</v>
      </c>
      <c r="Y79" s="241">
        <v>92.772142776347366</v>
      </c>
      <c r="Z79" s="241">
        <v>89.813846760326072</v>
      </c>
      <c r="AA79" s="241">
        <v>95.793167088355304</v>
      </c>
      <c r="AB79" s="241">
        <v>84.622868598254414</v>
      </c>
      <c r="AC79" s="241"/>
      <c r="AD79" s="241"/>
      <c r="AE79" s="241"/>
      <c r="AF79" s="241"/>
    </row>
    <row r="80" spans="1:32">
      <c r="A80" s="21">
        <v>41</v>
      </c>
      <c r="B80" s="21" t="s">
        <v>4</v>
      </c>
      <c r="N80" s="242">
        <v>10.31144548321071</v>
      </c>
      <c r="O80" s="242">
        <v>7.5715114031696951</v>
      </c>
      <c r="P80" s="242">
        <v>10.845350142474743</v>
      </c>
      <c r="Q80" s="242">
        <v>6.4207265558997459</v>
      </c>
      <c r="R80" s="242">
        <v>9.1335412114218375</v>
      </c>
      <c r="S80" s="242">
        <v>11.327873772670754</v>
      </c>
      <c r="T80" s="242">
        <v>10.452735857790946</v>
      </c>
      <c r="U80" s="242">
        <v>9.9004714510214775</v>
      </c>
      <c r="V80" s="242">
        <v>12.249111964651862</v>
      </c>
      <c r="W80" s="242">
        <v>12.695282289249807</v>
      </c>
      <c r="X80" s="242">
        <v>12.361726954492415</v>
      </c>
      <c r="Y80" s="242">
        <v>12.127238694856851</v>
      </c>
      <c r="Z80" s="242">
        <v>15.820237478915814</v>
      </c>
      <c r="AA80" s="242">
        <v>15.353985767912985</v>
      </c>
      <c r="AB80" s="242">
        <v>14.039932156991103</v>
      </c>
      <c r="AC80" s="242">
        <v>14.485528671335764</v>
      </c>
      <c r="AD80" s="242">
        <v>13.239743764481396</v>
      </c>
      <c r="AE80" s="242">
        <v>12.731154475437966</v>
      </c>
      <c r="AF80" s="242">
        <v>14.213350118394629</v>
      </c>
    </row>
    <row r="81" spans="1:32">
      <c r="A81" s="21">
        <v>91</v>
      </c>
      <c r="B81" s="21" t="s">
        <v>18</v>
      </c>
      <c r="C81" s="1096">
        <v>37.236944196577468</v>
      </c>
      <c r="D81" s="1096">
        <v>31.636815038127324</v>
      </c>
      <c r="E81" s="1096">
        <v>26.674702650735156</v>
      </c>
      <c r="F81" s="1096">
        <v>26.161846225927555</v>
      </c>
      <c r="G81" s="1096">
        <v>25.70051220247062</v>
      </c>
      <c r="H81" s="1096">
        <v>25.099602034997808</v>
      </c>
      <c r="I81" s="1096">
        <v>26.585269567880104</v>
      </c>
      <c r="J81" s="1096">
        <v>22.962071218491577</v>
      </c>
      <c r="K81" s="1096">
        <v>26.289049832450544</v>
      </c>
      <c r="L81" s="1096">
        <v>31.004450941690564</v>
      </c>
      <c r="M81" s="1096">
        <v>37.201882428013086</v>
      </c>
      <c r="N81" s="243">
        <v>34.522496015692042</v>
      </c>
      <c r="O81" s="243">
        <v>32.170212765957444</v>
      </c>
      <c r="P81" s="243">
        <v>34.682004495570538</v>
      </c>
      <c r="Q81" s="243">
        <v>39.837849074908185</v>
      </c>
      <c r="R81" s="243">
        <v>43.69850961153918</v>
      </c>
      <c r="S81" s="243">
        <v>46.852165902476813</v>
      </c>
      <c r="T81" s="243">
        <v>46.186461408000525</v>
      </c>
      <c r="U81" s="243">
        <v>46.422385644112552</v>
      </c>
      <c r="V81" s="243">
        <v>41.022880564491025</v>
      </c>
      <c r="W81" s="243">
        <v>53.972210456146563</v>
      </c>
      <c r="X81" s="243">
        <v>51.381660679291471</v>
      </c>
      <c r="Y81" s="243">
        <v>52.730562054368413</v>
      </c>
      <c r="Z81" s="243">
        <v>54.09400496328076</v>
      </c>
      <c r="AA81" s="243">
        <v>58.422979210465996</v>
      </c>
      <c r="AB81" s="243">
        <v>59.005422750127067</v>
      </c>
      <c r="AC81" s="243">
        <v>56.054631662604606</v>
      </c>
      <c r="AD81" s="243">
        <v>53.3743695527398</v>
      </c>
      <c r="AE81" s="243">
        <v>52.477829174710209</v>
      </c>
      <c r="AF81" s="243">
        <v>42.099506583835201</v>
      </c>
    </row>
    <row r="82" spans="1:32">
      <c r="A82" s="21">
        <v>310</v>
      </c>
      <c r="B82" s="21" t="s">
        <v>50</v>
      </c>
      <c r="C82" s="1097">
        <v>39.092771323285689</v>
      </c>
      <c r="D82" s="1097">
        <v>39.519971483962294</v>
      </c>
      <c r="E82" s="1097">
        <v>37.954948335301012</v>
      </c>
      <c r="F82" s="1097">
        <v>40.241664407547354</v>
      </c>
      <c r="G82" s="1097">
        <v>41.081152346145359</v>
      </c>
      <c r="H82" s="1097">
        <v>42.197709493855804</v>
      </c>
      <c r="I82" s="1097">
        <v>39.638592946362969</v>
      </c>
      <c r="J82" s="1097">
        <v>37.867120037182907</v>
      </c>
      <c r="K82" s="1097">
        <v>36.82367790364102</v>
      </c>
      <c r="L82" s="1097">
        <v>36.036980949401368</v>
      </c>
      <c r="M82" s="1097">
        <v>31.1444000970654</v>
      </c>
      <c r="N82" s="244">
        <v>32.75830668541527</v>
      </c>
      <c r="O82" s="244">
        <v>31.445001610783141</v>
      </c>
      <c r="P82" s="244">
        <v>26.408591022872606</v>
      </c>
      <c r="Q82" s="244">
        <v>28.923955699341853</v>
      </c>
      <c r="R82" s="244">
        <v>46.074414833376736</v>
      </c>
      <c r="S82" s="244">
        <v>49.741279797572766</v>
      </c>
      <c r="T82" s="244">
        <v>56.239915163554521</v>
      </c>
      <c r="U82" s="244">
        <v>62.833372689228995</v>
      </c>
      <c r="V82" s="244">
        <v>64.800804388537713</v>
      </c>
      <c r="W82" s="244">
        <v>72.156515725919789</v>
      </c>
      <c r="X82" s="244">
        <v>71.241686036084303</v>
      </c>
      <c r="Y82" s="244">
        <v>63.098756044934447</v>
      </c>
      <c r="Z82" s="244">
        <v>60.780513016586248</v>
      </c>
      <c r="AA82" s="244">
        <v>63.204334964458276</v>
      </c>
      <c r="AB82" s="244">
        <v>65.979838569237359</v>
      </c>
      <c r="AC82" s="244">
        <v>77.095779652377445</v>
      </c>
      <c r="AD82" s="244">
        <v>80.36387034940573</v>
      </c>
      <c r="AE82" s="244">
        <v>81.449723866986133</v>
      </c>
      <c r="AF82" s="244"/>
    </row>
    <row r="83" spans="1:32">
      <c r="A83" s="21">
        <v>395</v>
      </c>
      <c r="B83" s="21" t="s">
        <v>80</v>
      </c>
      <c r="C83" s="1098">
        <v>35.493311261205754</v>
      </c>
      <c r="D83" s="1098">
        <v>34.620792788845698</v>
      </c>
      <c r="E83" s="1098">
        <v>32.181923277203943</v>
      </c>
      <c r="F83" s="1098">
        <v>39.691284571287092</v>
      </c>
      <c r="G83" s="1098">
        <v>38.011733678856181</v>
      </c>
      <c r="H83" s="1098">
        <v>40.250698141226074</v>
      </c>
      <c r="I83" s="1098">
        <v>38.589232562849254</v>
      </c>
      <c r="J83" s="1098">
        <v>34.281645396923729</v>
      </c>
      <c r="K83" s="1098">
        <v>31.761350916324499</v>
      </c>
      <c r="L83" s="1098">
        <v>33.531245348859059</v>
      </c>
      <c r="M83" s="1098">
        <v>33.646434426806231</v>
      </c>
      <c r="N83" s="245">
        <v>31.302445143685105</v>
      </c>
      <c r="O83" s="245">
        <v>30.300480857791289</v>
      </c>
      <c r="P83" s="245">
        <v>32.774274664394731</v>
      </c>
      <c r="Q83" s="245">
        <v>35.76803908379663</v>
      </c>
      <c r="R83" s="245">
        <v>35.527007172810734</v>
      </c>
      <c r="S83" s="245">
        <v>36.284050410935805</v>
      </c>
      <c r="T83" s="245">
        <v>36.234336697571095</v>
      </c>
      <c r="U83" s="245">
        <v>34.718226083351254</v>
      </c>
      <c r="V83" s="245">
        <v>33.583702616527489</v>
      </c>
      <c r="W83" s="245">
        <v>33.57633024835021</v>
      </c>
      <c r="X83" s="245">
        <v>38.799689445662672</v>
      </c>
      <c r="Y83" s="245">
        <v>37.431163818979556</v>
      </c>
      <c r="Z83" s="245">
        <v>34.297506457958157</v>
      </c>
      <c r="AA83" s="245">
        <v>34.116400579495689</v>
      </c>
      <c r="AB83" s="245">
        <v>31.703907260995233</v>
      </c>
      <c r="AC83" s="245">
        <v>32.242754166472011</v>
      </c>
      <c r="AD83" s="245">
        <v>34.646000049608809</v>
      </c>
      <c r="AE83" s="245">
        <v>44.518528629122372</v>
      </c>
      <c r="AF83" s="245">
        <v>52.981687962256352</v>
      </c>
    </row>
    <row r="84" spans="1:32">
      <c r="A84" s="21">
        <v>750</v>
      </c>
      <c r="B84" s="21" t="s">
        <v>160</v>
      </c>
      <c r="C84" s="1099">
        <v>6.2110476714590357</v>
      </c>
      <c r="D84" s="1099">
        <v>6.0045080647522031</v>
      </c>
      <c r="E84" s="1099">
        <v>6.0520572179274463</v>
      </c>
      <c r="F84" s="1099">
        <v>5.9055666674157798</v>
      </c>
      <c r="G84" s="1099">
        <v>6.3570133350450115</v>
      </c>
      <c r="H84" s="1099">
        <v>5.3143994597092385</v>
      </c>
      <c r="I84" s="1099">
        <v>5.2548155112827812</v>
      </c>
      <c r="J84" s="1099">
        <v>5.6672842248806106</v>
      </c>
      <c r="K84" s="1099">
        <v>6.1039123173572714</v>
      </c>
      <c r="L84" s="1099">
        <v>7.0966035383568045</v>
      </c>
      <c r="M84" s="1099">
        <v>7.1336530764153192</v>
      </c>
      <c r="N84" s="246">
        <v>8.5919517846315046</v>
      </c>
      <c r="O84" s="246">
        <v>8.9440346748765265</v>
      </c>
      <c r="P84" s="246">
        <v>9.9499309890795278</v>
      </c>
      <c r="Q84" s="246">
        <v>10.003012510780064</v>
      </c>
      <c r="R84" s="246">
        <v>10.969254404843714</v>
      </c>
      <c r="S84" s="246">
        <v>10.507196705103738</v>
      </c>
      <c r="T84" s="246">
        <v>10.817675708734788</v>
      </c>
      <c r="U84" s="246">
        <v>11.151216966204297</v>
      </c>
      <c r="V84" s="246">
        <v>11.664596177834927</v>
      </c>
      <c r="W84" s="246">
        <v>13.229517569687497</v>
      </c>
      <c r="X84" s="246">
        <v>12.758364370991579</v>
      </c>
      <c r="Y84" s="246">
        <v>14.485523073168686</v>
      </c>
      <c r="Z84" s="246">
        <v>14.804323353376017</v>
      </c>
      <c r="AA84" s="246">
        <v>17.551336141501057</v>
      </c>
      <c r="AB84" s="246">
        <v>19.284763512918808</v>
      </c>
      <c r="AC84" s="246">
        <v>21.273352971535786</v>
      </c>
      <c r="AD84" s="246">
        <v>20.434094479693471</v>
      </c>
      <c r="AE84" s="246">
        <v>23.480879865969815</v>
      </c>
      <c r="AF84" s="246">
        <v>19.58462712271324</v>
      </c>
    </row>
    <row r="85" spans="1:32">
      <c r="A85" s="21">
        <v>850</v>
      </c>
      <c r="B85" s="21" t="s">
        <v>176</v>
      </c>
      <c r="C85" s="1100">
        <v>34.178996932486136</v>
      </c>
      <c r="D85" s="1100">
        <v>29.040221418718716</v>
      </c>
      <c r="E85" s="1100">
        <v>25.303293900880352</v>
      </c>
      <c r="F85" s="1100">
        <v>26.342517889990003</v>
      </c>
      <c r="G85" s="1100">
        <v>25.587110909153861</v>
      </c>
      <c r="H85" s="1100">
        <v>22.200730870748909</v>
      </c>
      <c r="I85" s="1100">
        <v>19.487236044938534</v>
      </c>
      <c r="J85" s="1100">
        <v>23.934258415060782</v>
      </c>
      <c r="K85" s="1100">
        <v>23.776020809361299</v>
      </c>
      <c r="L85" s="1100">
        <v>24.286648457119732</v>
      </c>
      <c r="M85" s="1100">
        <v>25.328512832484034</v>
      </c>
      <c r="N85" s="247">
        <v>25.79723933153862</v>
      </c>
      <c r="O85" s="247">
        <v>27.891436621378457</v>
      </c>
      <c r="P85" s="247">
        <v>26.75478836486505</v>
      </c>
      <c r="Q85" s="247">
        <v>26.511427627076905</v>
      </c>
      <c r="R85" s="247">
        <v>26.312164576833059</v>
      </c>
      <c r="S85" s="247">
        <v>25.82455238274412</v>
      </c>
      <c r="T85" s="247">
        <v>27.859262791351586</v>
      </c>
      <c r="U85" s="247">
        <v>52.96813536062799</v>
      </c>
      <c r="V85" s="247">
        <v>35.514128703986167</v>
      </c>
      <c r="W85" s="247">
        <v>40.977292504904767</v>
      </c>
      <c r="X85" s="247">
        <v>39.032133446555413</v>
      </c>
      <c r="Y85" s="247">
        <v>32.687621162286298</v>
      </c>
      <c r="Z85" s="247">
        <v>30.477655734003019</v>
      </c>
      <c r="AA85" s="247">
        <v>32.216693195662941</v>
      </c>
      <c r="AB85" s="247">
        <v>34.067266884326706</v>
      </c>
      <c r="AC85" s="247">
        <v>31.034716314316491</v>
      </c>
      <c r="AD85" s="247">
        <v>29.435718485126351</v>
      </c>
      <c r="AE85" s="247">
        <v>29.792220339329866</v>
      </c>
      <c r="AF85" s="247">
        <v>24.124609864727201</v>
      </c>
    </row>
    <row r="86" spans="1:32">
      <c r="A86" s="21">
        <v>205</v>
      </c>
      <c r="B86" s="21" t="s">
        <v>36</v>
      </c>
      <c r="C86" s="1102">
        <v>46.020513043920403</v>
      </c>
      <c r="D86" s="1102">
        <v>44.996591956149913</v>
      </c>
      <c r="E86" s="1102">
        <v>44.645316031966281</v>
      </c>
      <c r="F86" s="1102">
        <v>48.709456833319663</v>
      </c>
      <c r="G86" s="1102">
        <v>55.30301807545159</v>
      </c>
      <c r="H86" s="1102">
        <v>56.057856586398415</v>
      </c>
      <c r="I86" s="1102">
        <v>50.934517302188667</v>
      </c>
      <c r="J86" s="1102">
        <v>54.400086735851346</v>
      </c>
      <c r="K86" s="1102">
        <v>57.670527589924362</v>
      </c>
      <c r="L86" s="1102">
        <v>61.131046490667551</v>
      </c>
      <c r="M86" s="1102">
        <v>56.751213053388838</v>
      </c>
      <c r="N86" s="249">
        <v>57.659560433120873</v>
      </c>
      <c r="O86" s="249">
        <v>60.588739472250495</v>
      </c>
      <c r="P86" s="249">
        <v>65.735711862776014</v>
      </c>
      <c r="Q86" s="249">
        <v>70.500470304246932</v>
      </c>
      <c r="R86" s="249">
        <v>76.268257024641798</v>
      </c>
      <c r="S86" s="249">
        <v>77.385032841721269</v>
      </c>
      <c r="T86" s="249">
        <v>79.54362806365495</v>
      </c>
      <c r="U86" s="249">
        <v>86.944937278023332</v>
      </c>
      <c r="V86" s="249">
        <v>89.353530183828468</v>
      </c>
      <c r="W86" s="249">
        <v>98.296185496580236</v>
      </c>
      <c r="X86" s="249">
        <v>100.15522197395286</v>
      </c>
      <c r="Y86" s="249">
        <v>94.144022614182802</v>
      </c>
      <c r="Z86" s="249">
        <v>83.835901043134399</v>
      </c>
      <c r="AA86" s="249">
        <v>83.970711822074833</v>
      </c>
      <c r="AB86" s="249">
        <v>81.760344119801687</v>
      </c>
      <c r="AC86" s="249">
        <v>79.603699028245202</v>
      </c>
      <c r="AD86" s="249">
        <v>80.309900370158928</v>
      </c>
      <c r="AE86" s="249">
        <v>82.600364671252919</v>
      </c>
      <c r="AF86" s="249">
        <v>88.528400763354796</v>
      </c>
    </row>
    <row r="87" spans="1:32">
      <c r="A87" s="21">
        <v>630</v>
      </c>
      <c r="B87" s="21" t="s">
        <v>133</v>
      </c>
      <c r="C87" s="1101">
        <v>14.410976155706043</v>
      </c>
      <c r="D87" s="1101">
        <v>12.818671404244721</v>
      </c>
      <c r="E87" s="1101">
        <v>17.731535649853704</v>
      </c>
      <c r="F87" s="1101">
        <v>15.453268837157349</v>
      </c>
      <c r="G87" s="1101">
        <v>12.007247310728285</v>
      </c>
      <c r="H87" s="1101">
        <v>9.3888966308799926</v>
      </c>
      <c r="I87" s="1101">
        <v>3.9296364322221669</v>
      </c>
      <c r="J87" s="1101">
        <v>9.608985549964892</v>
      </c>
      <c r="K87" s="1101">
        <v>7.716534593417566</v>
      </c>
      <c r="L87" s="1101">
        <v>10.154109721449522</v>
      </c>
      <c r="M87" s="1101">
        <v>14.523923032695462</v>
      </c>
      <c r="N87" s="248">
        <v>14.965900632115236</v>
      </c>
      <c r="O87" s="248">
        <v>14.513971056818267</v>
      </c>
      <c r="P87" s="248">
        <v>27.406740314203553</v>
      </c>
      <c r="Q87" s="248">
        <v>30.354309139774411</v>
      </c>
      <c r="R87" s="248">
        <v>21.708551059174237</v>
      </c>
      <c r="S87" s="248">
        <v>20.836118581411988</v>
      </c>
      <c r="T87" s="248">
        <v>17.427561869459574</v>
      </c>
      <c r="U87" s="248">
        <v>13.628720808061365</v>
      </c>
      <c r="V87" s="248">
        <v>21.416232959862484</v>
      </c>
      <c r="W87" s="248">
        <v>22.70745811252662</v>
      </c>
      <c r="X87" s="248">
        <v>20.50388944823823</v>
      </c>
      <c r="Y87" s="248">
        <v>26.537950262585795</v>
      </c>
      <c r="Z87" s="248">
        <v>27.233915279543154</v>
      </c>
      <c r="AA87" s="248">
        <v>29.047276306655895</v>
      </c>
      <c r="AB87" s="248">
        <v>33.056609094094966</v>
      </c>
      <c r="AC87" s="248">
        <v>32.450744218267495</v>
      </c>
      <c r="AD87" s="248">
        <v>32.178954175494781</v>
      </c>
      <c r="AE87" s="248"/>
      <c r="AF87" s="248"/>
    </row>
    <row r="88" spans="1:32">
      <c r="A88" s="21">
        <v>645</v>
      </c>
      <c r="B88" s="21" t="s">
        <v>135</v>
      </c>
    </row>
    <row r="89" spans="1:32">
      <c r="A89" s="21">
        <v>666</v>
      </c>
      <c r="B89" s="21" t="s">
        <v>140</v>
      </c>
      <c r="C89" s="1103">
        <v>43.779342723004696</v>
      </c>
      <c r="D89" s="1103">
        <v>42.498529123357521</v>
      </c>
      <c r="E89" s="1103">
        <v>38.148704541593197</v>
      </c>
      <c r="F89" s="1103">
        <v>35.380439617933689</v>
      </c>
      <c r="G89" s="1103">
        <v>40.584077630896267</v>
      </c>
      <c r="H89" s="1103">
        <v>44.660126491024222</v>
      </c>
      <c r="I89" s="1103">
        <v>39.451471885057288</v>
      </c>
      <c r="J89" s="1103">
        <v>39.204908828664301</v>
      </c>
      <c r="K89" s="1103">
        <v>35.10209271208403</v>
      </c>
      <c r="L89" s="1103">
        <v>36.808974040472819</v>
      </c>
      <c r="M89" s="1103">
        <v>34.692103916897068</v>
      </c>
      <c r="N89" s="250">
        <v>29.883207733398649</v>
      </c>
      <c r="O89" s="250">
        <v>30.632257105764111</v>
      </c>
      <c r="P89" s="250">
        <v>32.445760533628622</v>
      </c>
      <c r="Q89" s="250">
        <v>32.616372691088017</v>
      </c>
      <c r="R89" s="250">
        <v>28.615873893805311</v>
      </c>
      <c r="S89" s="250">
        <v>28.105022152181025</v>
      </c>
      <c r="T89" s="250">
        <v>29.327591740665454</v>
      </c>
      <c r="U89" s="250">
        <v>29.927199578523876</v>
      </c>
      <c r="V89" s="250">
        <v>34.131344845630565</v>
      </c>
      <c r="W89" s="250">
        <v>37.0851682919157</v>
      </c>
      <c r="X89" s="250">
        <v>32.905033330113035</v>
      </c>
      <c r="Y89" s="250">
        <v>34.905307982518401</v>
      </c>
      <c r="Z89" s="250">
        <v>36.576177285318565</v>
      </c>
      <c r="AA89" s="250">
        <v>41.265764894197112</v>
      </c>
      <c r="AB89" s="250">
        <v>42.595850622406637</v>
      </c>
      <c r="AC89" s="250">
        <v>42.809879202892972</v>
      </c>
      <c r="AD89" s="250">
        <v>42.674305039285144</v>
      </c>
      <c r="AE89" s="250">
        <v>39.99365639738533</v>
      </c>
      <c r="AF89" s="250">
        <v>34.652022089208018</v>
      </c>
    </row>
    <row r="90" spans="1:32">
      <c r="A90" s="21">
        <v>325</v>
      </c>
      <c r="B90" s="21" t="s">
        <v>53</v>
      </c>
      <c r="C90" s="1104">
        <v>21.038450938728559</v>
      </c>
      <c r="D90" s="1104">
        <v>22.580162816483604</v>
      </c>
      <c r="E90" s="1104">
        <v>22.011755902330474</v>
      </c>
      <c r="F90" s="1104">
        <v>21.191465914147386</v>
      </c>
      <c r="G90" s="1104">
        <v>21.891529264539507</v>
      </c>
      <c r="H90" s="1104">
        <v>22.004065360478659</v>
      </c>
      <c r="I90" s="1104">
        <v>19.493688174659393</v>
      </c>
      <c r="J90" s="1104">
        <v>18.743421496666031</v>
      </c>
      <c r="K90" s="1104">
        <v>18.320212912187298</v>
      </c>
      <c r="L90" s="1104">
        <v>19.298518471972699</v>
      </c>
      <c r="M90" s="1104">
        <v>19.223741962842201</v>
      </c>
      <c r="N90" s="251">
        <v>17.902612794729997</v>
      </c>
      <c r="O90" s="251">
        <v>18.296169059313353</v>
      </c>
      <c r="P90" s="251">
        <v>21.313031435169709</v>
      </c>
      <c r="Q90" s="251">
        <v>22.839928373726494</v>
      </c>
      <c r="R90" s="251">
        <v>25.735654135494286</v>
      </c>
      <c r="S90" s="251">
        <v>24.73153378699325</v>
      </c>
      <c r="T90" s="251">
        <v>25.22236379764124</v>
      </c>
      <c r="U90" s="251">
        <v>25.185422269952536</v>
      </c>
      <c r="V90" s="251">
        <v>24.473691937683988</v>
      </c>
      <c r="W90" s="251">
        <v>27.055582849698617</v>
      </c>
      <c r="X90" s="251">
        <v>27.090378721377835</v>
      </c>
      <c r="Y90" s="251">
        <v>25.726728196420819</v>
      </c>
      <c r="Z90" s="251">
        <v>24.556272588874396</v>
      </c>
      <c r="AA90" s="251">
        <v>25.356999771593884</v>
      </c>
      <c r="AB90" s="251">
        <v>25.942020276751659</v>
      </c>
      <c r="AC90" s="251">
        <v>27.725695557482329</v>
      </c>
      <c r="AD90" s="251">
        <v>28.989998322262366</v>
      </c>
      <c r="AE90" s="251">
        <v>28.874494527994322</v>
      </c>
      <c r="AF90" s="251">
        <v>23.96909658819801</v>
      </c>
    </row>
    <row r="91" spans="1:32">
      <c r="A91" s="21">
        <v>51</v>
      </c>
      <c r="B91" s="21" t="s">
        <v>6</v>
      </c>
      <c r="C91" s="1105">
        <v>51.067438093868134</v>
      </c>
      <c r="D91" s="1105">
        <v>47.189508886556048</v>
      </c>
      <c r="E91" s="1105">
        <v>38.040937484182983</v>
      </c>
      <c r="F91" s="1105">
        <v>35.696104591731768</v>
      </c>
      <c r="G91" s="1105">
        <v>55.578351839775209</v>
      </c>
      <c r="H91" s="1105">
        <v>55.861161488205447</v>
      </c>
      <c r="I91" s="1105">
        <v>48.842987068820719</v>
      </c>
      <c r="J91" s="1105">
        <v>46.601790730947137</v>
      </c>
      <c r="K91" s="1105">
        <v>43.631122172190913</v>
      </c>
      <c r="L91" s="1105">
        <v>43.612295547333638</v>
      </c>
      <c r="M91" s="1105">
        <v>48.063175455737756</v>
      </c>
      <c r="N91" s="252">
        <v>50.207338687109385</v>
      </c>
      <c r="O91" s="252">
        <v>62.274544016929923</v>
      </c>
      <c r="P91" s="252">
        <v>47.394167662174326</v>
      </c>
      <c r="Q91" s="252">
        <v>51.299677529953854</v>
      </c>
      <c r="R91" s="252">
        <v>50.521510995285723</v>
      </c>
      <c r="S91" s="252">
        <v>43.786345168070987</v>
      </c>
      <c r="T91" s="252">
        <v>39.108556209608359</v>
      </c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>
        <v>39.971031822565088</v>
      </c>
      <c r="AF91" s="252">
        <v>34.709449112978525</v>
      </c>
    </row>
    <row r="92" spans="1:32">
      <c r="A92" s="21">
        <v>663</v>
      </c>
      <c r="B92" s="21" t="s">
        <v>139</v>
      </c>
      <c r="C92" s="1107">
        <v>39.862746759298481</v>
      </c>
      <c r="D92" s="1107">
        <v>43.02729190771116</v>
      </c>
      <c r="E92" s="1107">
        <v>39.398036564575861</v>
      </c>
      <c r="F92" s="1107">
        <v>34.975665773500303</v>
      </c>
      <c r="G92" s="1107">
        <v>37.665287170687392</v>
      </c>
      <c r="H92" s="1107">
        <v>38.684288684288688</v>
      </c>
      <c r="I92" s="1107">
        <v>29.307635422444072</v>
      </c>
      <c r="J92" s="1107">
        <v>34.238884361133749</v>
      </c>
      <c r="K92" s="1107">
        <v>45.0803744921392</v>
      </c>
      <c r="L92" s="1107">
        <v>57.307870663125506</v>
      </c>
      <c r="M92" s="1107">
        <v>61.915826556234308</v>
      </c>
      <c r="N92" s="254">
        <v>59.458512836678224</v>
      </c>
      <c r="O92" s="254">
        <v>50.23266157278492</v>
      </c>
      <c r="P92" s="254">
        <v>50.34073825509202</v>
      </c>
      <c r="Q92" s="254">
        <v>47.854107711254187</v>
      </c>
      <c r="R92" s="254">
        <v>51.722310307987151</v>
      </c>
      <c r="S92" s="254">
        <v>52.871364107827191</v>
      </c>
      <c r="T92" s="254">
        <v>49.232589718125126</v>
      </c>
      <c r="U92" s="254">
        <v>44.784647342041147</v>
      </c>
      <c r="V92" s="254">
        <v>43.302222080044849</v>
      </c>
      <c r="W92" s="254">
        <v>41.812061524104713</v>
      </c>
      <c r="X92" s="254">
        <v>42.11047068616211</v>
      </c>
      <c r="Y92" s="254">
        <v>47.411484239338371</v>
      </c>
      <c r="Z92" s="254">
        <v>47.361141845541056</v>
      </c>
      <c r="AA92" s="254">
        <v>52.190943062104068</v>
      </c>
      <c r="AB92" s="254">
        <v>52.705975392929631</v>
      </c>
      <c r="AC92" s="254">
        <v>51.847912341942667</v>
      </c>
      <c r="AD92" s="254">
        <v>52.23547142151741</v>
      </c>
      <c r="AE92" s="254">
        <v>54.700798689536747</v>
      </c>
      <c r="AF92" s="254">
        <v>43.498490437637066</v>
      </c>
    </row>
    <row r="93" spans="1:32">
      <c r="A93" s="21">
        <v>740</v>
      </c>
      <c r="B93" s="21" t="s">
        <v>159</v>
      </c>
      <c r="C93" s="1106">
        <v>13.513908615060119</v>
      </c>
      <c r="D93" s="1106">
        <v>14.496748359240996</v>
      </c>
      <c r="E93" s="1106">
        <v>14.298619487417479</v>
      </c>
      <c r="F93" s="1106">
        <v>13.725402838647394</v>
      </c>
      <c r="G93" s="1106">
        <v>14.820237584037491</v>
      </c>
      <c r="H93" s="1106">
        <v>14.190636256272629</v>
      </c>
      <c r="I93" s="1106">
        <v>11.175198460180967</v>
      </c>
      <c r="J93" s="1106">
        <v>10.21548396787759</v>
      </c>
      <c r="K93" s="1106">
        <v>9.8309384101450092</v>
      </c>
      <c r="L93" s="1106">
        <v>10.307391309224421</v>
      </c>
      <c r="M93" s="1106">
        <v>10.357964772652846</v>
      </c>
      <c r="N93" s="253">
        <v>9.9415706726871225</v>
      </c>
      <c r="O93" s="253">
        <v>9.835647198693465</v>
      </c>
      <c r="P93" s="253">
        <v>9.1188596184752981</v>
      </c>
      <c r="Q93" s="253">
        <v>9.0632967161653912</v>
      </c>
      <c r="R93" s="253">
        <v>9.1343399328103434</v>
      </c>
      <c r="S93" s="253">
        <v>9.8137508866129455</v>
      </c>
      <c r="T93" s="253">
        <v>10.874477183002773</v>
      </c>
      <c r="U93" s="253">
        <v>10.903230585373022</v>
      </c>
      <c r="V93" s="253">
        <v>10.277443860742732</v>
      </c>
      <c r="W93" s="253">
        <v>10.985488973039022</v>
      </c>
      <c r="X93" s="253">
        <v>10.561567082837991</v>
      </c>
      <c r="Y93" s="253">
        <v>11.363263521646724</v>
      </c>
      <c r="Z93" s="253">
        <v>12.009610560194496</v>
      </c>
      <c r="AA93" s="253">
        <v>13.301730344889032</v>
      </c>
      <c r="AB93" s="253">
        <v>14.332822305984999</v>
      </c>
      <c r="AC93" s="253">
        <v>16.113908572293546</v>
      </c>
      <c r="AD93" s="253">
        <v>17.619166962160953</v>
      </c>
      <c r="AE93" s="253">
        <v>17.51962287960351</v>
      </c>
      <c r="AF93" s="253">
        <v>12.549690969868641</v>
      </c>
    </row>
    <row r="94" spans="1:32">
      <c r="A94" s="21">
        <v>501</v>
      </c>
      <c r="B94" s="21" t="s">
        <v>106</v>
      </c>
      <c r="C94" s="1108">
        <v>29.516964163648147</v>
      </c>
      <c r="D94" s="1108">
        <v>30.459881320949435</v>
      </c>
      <c r="E94" s="1108">
        <v>26.65746592775859</v>
      </c>
      <c r="F94" s="1108">
        <v>25.949932366299716</v>
      </c>
      <c r="G94" s="1108">
        <v>26.749892695427967</v>
      </c>
      <c r="H94" s="1108">
        <v>25.298932983486029</v>
      </c>
      <c r="I94" s="1108">
        <v>25.848355306733684</v>
      </c>
      <c r="J94" s="1108">
        <v>21.305221382089087</v>
      </c>
      <c r="K94" s="1108">
        <v>22.371213557349293</v>
      </c>
      <c r="L94" s="1108">
        <v>23.033029405359084</v>
      </c>
      <c r="M94" s="1108">
        <v>25.692605983849692</v>
      </c>
      <c r="N94" s="256">
        <v>27.041632305942855</v>
      </c>
      <c r="O94" s="256">
        <v>26.260374189177206</v>
      </c>
      <c r="P94" s="256">
        <v>38.903630158784253</v>
      </c>
      <c r="Q94" s="256">
        <v>37.040280833904049</v>
      </c>
      <c r="R94" s="256">
        <v>32.591701223439152</v>
      </c>
      <c r="S94" s="256">
        <v>25.200601952603275</v>
      </c>
      <c r="T94" s="256">
        <v>22.686387353444413</v>
      </c>
      <c r="U94" s="256">
        <v>20.169260827528461</v>
      </c>
      <c r="V94" s="256">
        <v>20.832735198507514</v>
      </c>
      <c r="W94" s="256">
        <v>21.58757113762956</v>
      </c>
      <c r="X94" s="256">
        <v>22.931576364336749</v>
      </c>
      <c r="Y94" s="256">
        <v>24.897972614700205</v>
      </c>
      <c r="Z94" s="256">
        <v>24.086815305421013</v>
      </c>
      <c r="AA94" s="256">
        <v>26.610258575297273</v>
      </c>
      <c r="AB94" s="256">
        <v>28.509030214201204</v>
      </c>
      <c r="AC94" s="256">
        <v>26.419592106674294</v>
      </c>
      <c r="AD94" s="256">
        <v>25.995343145296228</v>
      </c>
      <c r="AE94" s="256">
        <v>27.607629223180723</v>
      </c>
      <c r="AF94" s="256">
        <v>25.235069941526639</v>
      </c>
    </row>
    <row r="95" spans="1:32">
      <c r="A95" s="21">
        <v>946</v>
      </c>
      <c r="B95" s="21" t="s">
        <v>182</v>
      </c>
      <c r="C95" s="1109">
        <v>23.437818448620227</v>
      </c>
      <c r="D95" s="1109">
        <v>29.78865231541387</v>
      </c>
      <c r="E95" s="1109">
        <v>9.0728771245853412</v>
      </c>
      <c r="F95" s="1109">
        <v>13.244566880930517</v>
      </c>
      <c r="G95" s="1109">
        <v>39.230462886376863</v>
      </c>
      <c r="H95" s="1109">
        <v>21.103896103896101</v>
      </c>
      <c r="I95" s="1109">
        <v>9.4356175065795878</v>
      </c>
      <c r="J95" s="1109">
        <v>9.6871433170417625</v>
      </c>
      <c r="K95" s="1109">
        <v>18.102596580113996</v>
      </c>
      <c r="L95" s="1109">
        <v>18.590155163188872</v>
      </c>
      <c r="M95" s="1109">
        <v>11.637042938380814</v>
      </c>
      <c r="N95" s="257">
        <v>7.7604828164562765</v>
      </c>
      <c r="O95" s="257">
        <v>8.5636718135395924</v>
      </c>
      <c r="P95" s="257">
        <v>13.247829210091854</v>
      </c>
      <c r="Q95" s="257">
        <v>26.059903185574164</v>
      </c>
      <c r="R95" s="257">
        <v>11.580570486294814</v>
      </c>
      <c r="S95" s="257">
        <v>16.14263522841685</v>
      </c>
      <c r="T95" s="257">
        <v>20.069676981333178</v>
      </c>
      <c r="U95" s="257">
        <v>24.367459926291847</v>
      </c>
      <c r="V95" s="257">
        <v>12.24599818968292</v>
      </c>
      <c r="W95" s="257">
        <v>6.8819510686304817</v>
      </c>
      <c r="X95" s="257">
        <v>6.5655237013577867</v>
      </c>
      <c r="Y95" s="257">
        <v>6.9584677780209327</v>
      </c>
      <c r="Z95" s="257">
        <v>9.7784725112436277</v>
      </c>
      <c r="AA95" s="257">
        <v>9.4074701331049706</v>
      </c>
      <c r="AB95" s="257"/>
      <c r="AC95" s="257"/>
      <c r="AD95" s="257"/>
      <c r="AE95" s="257"/>
      <c r="AF95" s="257"/>
    </row>
    <row r="96" spans="1:32">
      <c r="A96" s="21">
        <v>347</v>
      </c>
      <c r="B96" s="21" t="s">
        <v>196</v>
      </c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>
        <v>14.078183625693486</v>
      </c>
      <c r="AD96" s="259">
        <v>15.091120599132669</v>
      </c>
      <c r="AE96" s="259">
        <v>14.939333316012368</v>
      </c>
      <c r="AF96" s="259">
        <v>14.079012526260362</v>
      </c>
    </row>
    <row r="97" spans="1:32">
      <c r="A97" s="21">
        <v>690</v>
      </c>
      <c r="B97" s="21" t="s">
        <v>143</v>
      </c>
      <c r="C97" s="1111">
        <v>78.349047740212228</v>
      </c>
      <c r="D97" s="1111">
        <v>69.498123773420403</v>
      </c>
      <c r="E97" s="1111">
        <v>54.50477269434333</v>
      </c>
      <c r="F97" s="1111">
        <v>59.129373451770739</v>
      </c>
      <c r="G97" s="1111">
        <v>60.112975881073524</v>
      </c>
      <c r="H97" s="1111">
        <v>53.674920157024317</v>
      </c>
      <c r="I97" s="1111">
        <v>46.1865824527261</v>
      </c>
      <c r="J97" s="1111">
        <v>52.540134591452123</v>
      </c>
      <c r="K97" s="1111">
        <v>47.564607719855502</v>
      </c>
      <c r="L97" s="1111">
        <v>52.401684842574106</v>
      </c>
      <c r="M97" s="1111">
        <v>44.938949653301172</v>
      </c>
      <c r="N97" s="260">
        <v>16.902038814534627</v>
      </c>
      <c r="O97" s="260">
        <v>40.470266697821053</v>
      </c>
      <c r="P97" s="260">
        <v>47.771185864571351</v>
      </c>
      <c r="Q97" s="260">
        <v>50.853659433406072</v>
      </c>
      <c r="R97" s="260">
        <v>52.353956125215674</v>
      </c>
      <c r="S97" s="260">
        <v>52.283838025339236</v>
      </c>
      <c r="T97" s="260">
        <v>52.853960484440343</v>
      </c>
      <c r="U97" s="260">
        <v>43.859315955660584</v>
      </c>
      <c r="V97" s="260">
        <v>45.936896109768384</v>
      </c>
      <c r="W97" s="260">
        <v>56.473639827139152</v>
      </c>
      <c r="X97" s="260">
        <v>51.303615288290814</v>
      </c>
      <c r="Y97" s="260">
        <v>44.616046660914584</v>
      </c>
      <c r="Z97" s="260">
        <v>52.092240835494493</v>
      </c>
      <c r="AA97" s="260">
        <v>56.916138608209167</v>
      </c>
      <c r="AB97" s="260">
        <v>63.976603229771541</v>
      </c>
      <c r="AC97" s="260">
        <v>65.544621649134712</v>
      </c>
      <c r="AD97" s="260">
        <v>63.40452955256859</v>
      </c>
      <c r="AE97" s="260">
        <v>66.438786538316535</v>
      </c>
      <c r="AF97" s="260"/>
    </row>
    <row r="98" spans="1:32">
      <c r="A98" s="21">
        <v>703</v>
      </c>
      <c r="B98" s="21" t="s">
        <v>151</v>
      </c>
      <c r="C98" s="1112"/>
      <c r="D98" s="1112"/>
      <c r="E98" s="1112"/>
      <c r="F98" s="1112"/>
      <c r="G98" s="1112"/>
      <c r="H98" s="1112"/>
      <c r="I98" s="1112"/>
      <c r="J98" s="1112"/>
      <c r="K98" s="1112"/>
      <c r="L98" s="1112"/>
      <c r="M98" s="1112">
        <v>29.20250560957367</v>
      </c>
      <c r="N98" s="261">
        <v>35.332252836304704</v>
      </c>
      <c r="O98" s="261">
        <v>35.586134006146345</v>
      </c>
      <c r="P98" s="261">
        <v>33.531290268362376</v>
      </c>
      <c r="Q98" s="261">
        <v>33.761814430244939</v>
      </c>
      <c r="R98" s="261">
        <v>29.467144830320034</v>
      </c>
      <c r="S98" s="261">
        <v>30.738099002961626</v>
      </c>
      <c r="T98" s="261">
        <v>38.286889332816266</v>
      </c>
      <c r="U98" s="261">
        <v>36.483292082828669</v>
      </c>
      <c r="V98" s="261">
        <v>42.202919615515512</v>
      </c>
      <c r="W98" s="261">
        <v>41.847719059248561</v>
      </c>
      <c r="X98" s="261">
        <v>36.72467255793935</v>
      </c>
      <c r="Y98" s="261">
        <v>39.581415045406537</v>
      </c>
      <c r="Z98" s="261">
        <v>38.681029175487936</v>
      </c>
      <c r="AA98" s="261">
        <v>42.555897102694409</v>
      </c>
      <c r="AB98" s="261">
        <v>38.731724334781639</v>
      </c>
      <c r="AC98" s="261">
        <v>41.720525728887758</v>
      </c>
      <c r="AD98" s="261">
        <v>44.008465253488964</v>
      </c>
      <c r="AE98" s="261">
        <v>55.616491987154774</v>
      </c>
      <c r="AF98" s="261">
        <v>49.872370749464764</v>
      </c>
    </row>
    <row r="99" spans="1:32">
      <c r="A99" s="21">
        <v>705</v>
      </c>
      <c r="B99" s="21" t="s">
        <v>153</v>
      </c>
      <c r="N99" s="255"/>
      <c r="O99" s="255">
        <v>74.00497247097843</v>
      </c>
      <c r="P99" s="255">
        <v>37.895395114722788</v>
      </c>
      <c r="Q99" s="255">
        <v>37.064737709129929</v>
      </c>
      <c r="R99" s="255">
        <v>38.973860913635512</v>
      </c>
      <c r="S99" s="255">
        <v>35.268804930702089</v>
      </c>
      <c r="T99" s="255">
        <v>34.916856667419196</v>
      </c>
      <c r="U99" s="255">
        <v>30.344203290497955</v>
      </c>
      <c r="V99" s="255">
        <v>42.462095508838949</v>
      </c>
      <c r="W99" s="255">
        <v>56.602426799537334</v>
      </c>
      <c r="X99" s="255">
        <v>45.895018610910199</v>
      </c>
      <c r="Y99" s="255">
        <v>46.990640756175402</v>
      </c>
      <c r="Z99" s="255">
        <v>48.417022094632642</v>
      </c>
      <c r="AA99" s="255">
        <v>52.500410425022139</v>
      </c>
      <c r="AB99" s="255">
        <v>53.54246805602223</v>
      </c>
      <c r="AC99" s="255">
        <v>51.151208091319269</v>
      </c>
      <c r="AD99" s="255">
        <v>49.439835377905666</v>
      </c>
      <c r="AE99" s="255">
        <v>57.215863890973793</v>
      </c>
      <c r="AF99" s="255">
        <v>42.013257330658384</v>
      </c>
    </row>
    <row r="100" spans="1:32">
      <c r="A100" s="21">
        <v>812</v>
      </c>
      <c r="B100" s="21" t="s">
        <v>170</v>
      </c>
      <c r="C100" s="1113"/>
      <c r="D100" s="1113"/>
      <c r="E100" s="1113"/>
      <c r="F100" s="1113"/>
      <c r="G100" s="1113">
        <v>2.7642277228210745</v>
      </c>
      <c r="H100" s="1113">
        <v>4.0375590131693517</v>
      </c>
      <c r="I100" s="1113">
        <v>3.613744055704049</v>
      </c>
      <c r="J100" s="1113">
        <v>6.0924368437257286</v>
      </c>
      <c r="K100" s="1113">
        <v>13.6286198050318</v>
      </c>
      <c r="L100" s="1113">
        <v>12.13067520812363</v>
      </c>
      <c r="M100" s="1113">
        <v>11.328763286659347</v>
      </c>
      <c r="N100" s="262">
        <v>12.953726481537606</v>
      </c>
      <c r="O100" s="262">
        <v>17.025755420880536</v>
      </c>
      <c r="P100" s="262">
        <v>21.461619264359413</v>
      </c>
      <c r="Q100" s="262">
        <v>24.986940718136861</v>
      </c>
      <c r="R100" s="262">
        <v>23.220388913734471</v>
      </c>
      <c r="S100" s="262">
        <v>22.698749624220397</v>
      </c>
      <c r="T100" s="262">
        <v>23.892224790841361</v>
      </c>
      <c r="U100" s="262">
        <v>36.455872755149834</v>
      </c>
      <c r="V100" s="262">
        <v>35.87584152329039</v>
      </c>
      <c r="W100" s="262">
        <v>29.989767973002706</v>
      </c>
      <c r="X100" s="262">
        <v>28.244462176053563</v>
      </c>
      <c r="Y100" s="262">
        <v>28.238348443981703</v>
      </c>
      <c r="Z100" s="262">
        <v>27.812462055968741</v>
      </c>
      <c r="AA100" s="262">
        <v>28.828671256208033</v>
      </c>
      <c r="AB100" s="262">
        <v>33.107302651450468</v>
      </c>
      <c r="AC100" s="262">
        <v>38.386834545983263</v>
      </c>
      <c r="AD100" s="262">
        <v>35.692650266725963</v>
      </c>
      <c r="AE100" s="262">
        <v>32.722856371684365</v>
      </c>
      <c r="AF100" s="262"/>
    </row>
    <row r="101" spans="1:32">
      <c r="A101" s="21">
        <v>367</v>
      </c>
      <c r="B101" s="21" t="s">
        <v>69</v>
      </c>
      <c r="C101" s="1114"/>
      <c r="D101" s="1114"/>
      <c r="E101" s="1114"/>
      <c r="F101" s="1114"/>
      <c r="G101" s="1114"/>
      <c r="H101" s="1114"/>
      <c r="I101" s="1114"/>
      <c r="J101" s="1114"/>
      <c r="K101" s="1114"/>
      <c r="L101" s="1114"/>
      <c r="M101" s="1114">
        <v>47.709801409352984</v>
      </c>
      <c r="N101" s="263">
        <v>35.248560962846675</v>
      </c>
      <c r="O101" s="263">
        <v>79.944094481918299</v>
      </c>
      <c r="P101" s="263">
        <v>73.237900477164288</v>
      </c>
      <c r="Q101" s="263">
        <v>46.457772337821297</v>
      </c>
      <c r="R101" s="263">
        <v>42.672764621526298</v>
      </c>
      <c r="S101" s="263">
        <v>46.815773219336172</v>
      </c>
      <c r="T101" s="263">
        <v>46.846669847596061</v>
      </c>
      <c r="U101" s="263">
        <v>47.180301826846701</v>
      </c>
      <c r="V101" s="263">
        <v>40.368074684103462</v>
      </c>
      <c r="W101" s="263">
        <v>41.641793432455806</v>
      </c>
      <c r="X101" s="263">
        <v>41.577392994200657</v>
      </c>
      <c r="Y101" s="263">
        <v>40.874733537964595</v>
      </c>
      <c r="Z101" s="263">
        <v>42.070911894641114</v>
      </c>
      <c r="AA101" s="263">
        <v>43.96018860295591</v>
      </c>
      <c r="AB101" s="263">
        <v>47.849124085174019</v>
      </c>
      <c r="AC101" s="263">
        <v>44.884349596755669</v>
      </c>
      <c r="AD101" s="263">
        <v>42.228952869863825</v>
      </c>
      <c r="AE101" s="263">
        <v>41.735217671817878</v>
      </c>
      <c r="AF101" s="263">
        <v>42.174805955724679</v>
      </c>
    </row>
    <row r="102" spans="1:32">
      <c r="A102" s="21">
        <v>450</v>
      </c>
      <c r="B102" s="21" t="s">
        <v>94</v>
      </c>
      <c r="C102" s="1117">
        <v>64.33593542363208</v>
      </c>
      <c r="D102" s="1117">
        <v>62.88943534151479</v>
      </c>
      <c r="E102" s="1117">
        <v>56.26140008091285</v>
      </c>
      <c r="F102" s="1117">
        <v>53.45387009631196</v>
      </c>
      <c r="G102" s="1117">
        <v>50.421783809385666</v>
      </c>
      <c r="H102" s="1117">
        <v>49.947912146042853</v>
      </c>
      <c r="I102" s="1117">
        <v>50.084435449970655</v>
      </c>
      <c r="J102" s="1117"/>
      <c r="K102" s="1117"/>
      <c r="L102" s="1117"/>
      <c r="M102" s="1117"/>
      <c r="N102" s="266"/>
      <c r="O102" s="266"/>
      <c r="P102" s="266"/>
      <c r="Q102" s="266"/>
      <c r="R102" s="266"/>
      <c r="S102" s="266"/>
      <c r="T102" s="266">
        <v>8.7867522811760725</v>
      </c>
      <c r="U102" s="266">
        <v>10.789766165781678</v>
      </c>
      <c r="V102" s="266">
        <v>14.554095557419759</v>
      </c>
      <c r="W102" s="266">
        <v>21.465500992961271</v>
      </c>
      <c r="X102" s="266">
        <v>23.184873862161879</v>
      </c>
      <c r="Y102" s="266">
        <v>19.858905217838956</v>
      </c>
      <c r="Z102" s="266">
        <v>32.350038000824505</v>
      </c>
      <c r="AA102" s="266">
        <v>37.278437671930732</v>
      </c>
      <c r="AB102" s="266">
        <v>37.886059732396731</v>
      </c>
      <c r="AC102" s="266">
        <v>28.627450980392155</v>
      </c>
      <c r="AD102" s="266">
        <v>28.314729104274438</v>
      </c>
      <c r="AE102" s="266">
        <v>31.100478468899517</v>
      </c>
      <c r="AF102" s="266"/>
    </row>
    <row r="103" spans="1:32">
      <c r="A103" s="21">
        <v>660</v>
      </c>
      <c r="B103" s="21" t="s">
        <v>138</v>
      </c>
      <c r="C103" s="1115"/>
      <c r="D103" s="1115"/>
      <c r="E103" s="1115"/>
      <c r="F103" s="1115"/>
      <c r="G103" s="1115"/>
      <c r="H103" s="1115"/>
      <c r="I103" s="1115"/>
      <c r="J103" s="1115"/>
      <c r="K103" s="1115"/>
      <c r="L103" s="1115">
        <v>18.359503151698942</v>
      </c>
      <c r="M103" s="1115">
        <v>18.002844322267062</v>
      </c>
      <c r="N103" s="264">
        <v>13.208654793336697</v>
      </c>
      <c r="O103" s="264">
        <v>11.37779582560985</v>
      </c>
      <c r="P103" s="264">
        <v>9.6747389448056786</v>
      </c>
      <c r="Q103" s="264">
        <v>7.8706087354228282</v>
      </c>
      <c r="R103" s="264">
        <v>10.806454875845706</v>
      </c>
      <c r="S103" s="264">
        <v>12.846320000935371</v>
      </c>
      <c r="T103" s="264">
        <v>14.5319587628866</v>
      </c>
      <c r="U103" s="264">
        <v>13.763432636047268</v>
      </c>
      <c r="V103" s="264">
        <v>14.063989627426304</v>
      </c>
      <c r="W103" s="264">
        <v>14.177555726364336</v>
      </c>
      <c r="X103" s="264">
        <v>15.604915999548991</v>
      </c>
      <c r="Y103" s="264">
        <v>16.098642283180936</v>
      </c>
      <c r="Z103" s="264">
        <v>16.736581337737409</v>
      </c>
      <c r="AA103" s="264">
        <v>19.944623623197224</v>
      </c>
      <c r="AB103" s="264">
        <v>21.377802077638052</v>
      </c>
      <c r="AC103" s="264">
        <v>21.254139072847682</v>
      </c>
      <c r="AD103" s="264">
        <v>23.016440314510366</v>
      </c>
      <c r="AE103" s="264">
        <v>24.554560765889548</v>
      </c>
      <c r="AF103" s="264">
        <v>22.267251482903198</v>
      </c>
    </row>
    <row r="104" spans="1:32">
      <c r="A104" s="21">
        <v>570</v>
      </c>
      <c r="B104" s="21" t="s">
        <v>121</v>
      </c>
      <c r="C104" s="1116">
        <v>21.005653079440641</v>
      </c>
      <c r="D104" s="1116">
        <v>19.291338582677163</v>
      </c>
      <c r="E104" s="1116">
        <v>15.818056828597618</v>
      </c>
      <c r="F104" s="1116">
        <v>14.120678548421731</v>
      </c>
      <c r="G104" s="1116">
        <v>14.416619437336632</v>
      </c>
      <c r="H104" s="1116">
        <v>14.060662333642835</v>
      </c>
      <c r="I104" s="1116">
        <v>14.083954571004126</v>
      </c>
      <c r="J104" s="1116">
        <v>13.205805456359412</v>
      </c>
      <c r="K104" s="1116">
        <v>21.219779567884736</v>
      </c>
      <c r="L104" s="1116">
        <v>21.740739055419343</v>
      </c>
      <c r="M104" s="1116">
        <v>18.086260648710326</v>
      </c>
      <c r="N104" s="265">
        <v>19.019660642414923</v>
      </c>
      <c r="O104" s="265">
        <v>20.597792646006173</v>
      </c>
      <c r="P104" s="265">
        <v>24.142950196768968</v>
      </c>
      <c r="Q104" s="265">
        <v>25.034299038326228</v>
      </c>
      <c r="R104" s="265">
        <v>23.688131253876939</v>
      </c>
      <c r="S104" s="265">
        <v>30.639956046470338</v>
      </c>
      <c r="T104" s="265">
        <v>29.718092938995927</v>
      </c>
      <c r="U104" s="265">
        <v>29.348165488136598</v>
      </c>
      <c r="V104" s="265">
        <v>29.624671655444246</v>
      </c>
      <c r="W104" s="265">
        <v>34.218433369587501</v>
      </c>
      <c r="X104" s="265">
        <v>46.480355976755007</v>
      </c>
      <c r="Y104" s="265">
        <v>61.086410248366278</v>
      </c>
      <c r="Z104" s="265">
        <v>54.886574187702607</v>
      </c>
      <c r="AA104" s="265">
        <v>59.806409892495125</v>
      </c>
      <c r="AB104" s="265">
        <v>53.439636568245227</v>
      </c>
      <c r="AC104" s="265">
        <v>53.555114421042006</v>
      </c>
      <c r="AD104" s="265">
        <v>55.809811952425129</v>
      </c>
      <c r="AE104" s="265">
        <v>58.717695893387081</v>
      </c>
      <c r="AF104" s="265">
        <v>51.218859110409042</v>
      </c>
    </row>
    <row r="105" spans="1:32">
      <c r="A105" s="21">
        <v>620</v>
      </c>
      <c r="B105" s="21" t="s">
        <v>131</v>
      </c>
      <c r="C105" s="1118"/>
      <c r="D105" s="1118"/>
      <c r="E105" s="1118"/>
      <c r="F105" s="1118"/>
      <c r="G105" s="1118"/>
      <c r="H105" s="1118"/>
      <c r="I105" s="1118"/>
      <c r="J105" s="1118"/>
      <c r="K105" s="1118"/>
      <c r="L105" s="1118"/>
      <c r="M105" s="1118">
        <v>39.67623701893708</v>
      </c>
      <c r="N105" s="267">
        <v>33.831421890658056</v>
      </c>
      <c r="O105" s="267">
        <v>30.589036788596584</v>
      </c>
      <c r="P105" s="267">
        <v>28.244749249892841</v>
      </c>
      <c r="Q105" s="267">
        <v>27.035216213504565</v>
      </c>
      <c r="R105" s="267">
        <v>29.176029962546817</v>
      </c>
      <c r="S105" s="267">
        <v>28.653530377668307</v>
      </c>
      <c r="T105" s="267">
        <v>26.786345324757932</v>
      </c>
      <c r="U105" s="267">
        <v>19.369015853084289</v>
      </c>
      <c r="V105" s="267">
        <v>23.863073767593182</v>
      </c>
      <c r="W105" s="267">
        <v>35.630561875413989</v>
      </c>
      <c r="X105" s="267">
        <v>31.856245638520587</v>
      </c>
      <c r="Y105" s="267">
        <v>46.210317460317462</v>
      </c>
      <c r="Z105" s="267">
        <v>62.38501027075111</v>
      </c>
      <c r="AA105" s="267">
        <v>63.25502121949458</v>
      </c>
      <c r="AB105" s="267">
        <v>66.432854106660471</v>
      </c>
      <c r="AC105" s="267">
        <v>71.303064093162234</v>
      </c>
      <c r="AD105" s="267">
        <v>67.559492396525457</v>
      </c>
      <c r="AE105" s="267">
        <v>67.384311701189731</v>
      </c>
      <c r="AF105" s="267"/>
    </row>
    <row r="106" spans="1:32">
      <c r="A106" s="21">
        <v>223</v>
      </c>
      <c r="B106" s="21" t="s">
        <v>42</v>
      </c>
    </row>
    <row r="107" spans="1:32">
      <c r="A107" s="21">
        <v>368</v>
      </c>
      <c r="B107" s="21" t="s">
        <v>70</v>
      </c>
      <c r="C107" s="1119"/>
      <c r="D107" s="1119"/>
      <c r="E107" s="1119"/>
      <c r="F107" s="1119"/>
      <c r="G107" s="1119"/>
      <c r="H107" s="1119"/>
      <c r="I107" s="1119"/>
      <c r="J107" s="1119"/>
      <c r="K107" s="1119"/>
      <c r="L107" s="1119"/>
      <c r="M107" s="1119">
        <v>52.089552238805972</v>
      </c>
      <c r="N107" s="268">
        <v>29.638554216867469</v>
      </c>
      <c r="O107" s="268">
        <v>23.352906635349381</v>
      </c>
      <c r="P107" s="268">
        <v>82.544436790336491</v>
      </c>
      <c r="Q107" s="268">
        <v>55.37624079507809</v>
      </c>
      <c r="R107" s="268">
        <v>47.411640415385307</v>
      </c>
      <c r="S107" s="268">
        <v>49.968255571642182</v>
      </c>
      <c r="T107" s="268">
        <v>51.578680936349187</v>
      </c>
      <c r="U107" s="268">
        <v>45.056002061480086</v>
      </c>
      <c r="V107" s="268">
        <v>38.629843570199725</v>
      </c>
      <c r="W107" s="268">
        <v>44.747118294240082</v>
      </c>
      <c r="X107" s="268">
        <v>49.784834148557991</v>
      </c>
      <c r="Y107" s="268">
        <v>52.705871507832711</v>
      </c>
      <c r="Z107" s="268">
        <v>51.154682106904218</v>
      </c>
      <c r="AA107" s="268">
        <v>52.052065622717222</v>
      </c>
      <c r="AB107" s="268">
        <v>57.532153582272649</v>
      </c>
      <c r="AC107" s="268">
        <v>59.083760906745518</v>
      </c>
      <c r="AD107" s="268">
        <v>54.091706522102669</v>
      </c>
      <c r="AE107" s="268">
        <v>60.234697575948893</v>
      </c>
      <c r="AF107" s="268"/>
    </row>
    <row r="108" spans="1:32">
      <c r="A108" s="21">
        <v>212</v>
      </c>
      <c r="B108" s="21" t="s">
        <v>39</v>
      </c>
      <c r="C108" s="1120">
        <v>91.054669079250573</v>
      </c>
      <c r="D108" s="1120">
        <v>89.127437168277254</v>
      </c>
      <c r="E108" s="1120">
        <v>91.551763087795308</v>
      </c>
      <c r="F108" s="1120">
        <v>92.821047266731043</v>
      </c>
      <c r="G108" s="1120">
        <v>103.98526803110161</v>
      </c>
      <c r="H108" s="1120">
        <v>111.56132871317493</v>
      </c>
      <c r="I108" s="1120">
        <v>102.09395589051206</v>
      </c>
      <c r="J108" s="1120">
        <v>99.251657524367118</v>
      </c>
      <c r="K108" s="1120">
        <v>100.84543443034555</v>
      </c>
      <c r="L108" s="1120">
        <v>103.67284445014849</v>
      </c>
      <c r="M108" s="1120">
        <v>101.53341951550013</v>
      </c>
      <c r="N108" s="269">
        <v>101.42417711997658</v>
      </c>
      <c r="O108" s="269">
        <v>100.39880367707508</v>
      </c>
      <c r="P108" s="269">
        <v>100.66987899355217</v>
      </c>
      <c r="Q108" s="269">
        <v>104.0044807796229</v>
      </c>
      <c r="R108" s="269">
        <v>106.38637220968479</v>
      </c>
      <c r="S108" s="269">
        <v>111.13087626451261</v>
      </c>
      <c r="T108" s="269">
        <v>120.90714768554325</v>
      </c>
      <c r="U108" s="269">
        <v>127.50910155846245</v>
      </c>
      <c r="V108" s="269">
        <v>134.26845948066054</v>
      </c>
      <c r="W108" s="269">
        <v>149.99954546694184</v>
      </c>
      <c r="X108" s="269">
        <v>146.62218737124707</v>
      </c>
      <c r="Y108" s="269">
        <v>140.64720764578635</v>
      </c>
      <c r="Z108" s="269">
        <v>136.97255199482859</v>
      </c>
      <c r="AA108" s="269">
        <v>152.32791494724268</v>
      </c>
      <c r="AB108" s="269">
        <v>155.77119307318137</v>
      </c>
      <c r="AC108" s="269">
        <v>168.71456849700152</v>
      </c>
      <c r="AD108" s="269">
        <v>176.04188353111371</v>
      </c>
      <c r="AE108" s="269">
        <v>179.77122322635736</v>
      </c>
      <c r="AF108" s="269">
        <v>169.40778638445272</v>
      </c>
    </row>
    <row r="109" spans="1:32">
      <c r="A109" s="21">
        <v>435</v>
      </c>
      <c r="B109" s="21" t="s">
        <v>89</v>
      </c>
      <c r="C109" s="1128">
        <v>36.823153453234383</v>
      </c>
      <c r="D109" s="1128">
        <v>45.066460080865525</v>
      </c>
      <c r="E109" s="1128">
        <v>40.064476825086523</v>
      </c>
      <c r="F109" s="1128">
        <v>45.73718661150609</v>
      </c>
      <c r="G109" s="1128">
        <v>45.58724671889911</v>
      </c>
      <c r="H109" s="1128">
        <v>59.908938199275099</v>
      </c>
      <c r="I109" s="1128">
        <v>56.153249874115637</v>
      </c>
      <c r="J109" s="1128">
        <v>49.089301771415208</v>
      </c>
      <c r="K109" s="1128">
        <v>50.268471537594316</v>
      </c>
      <c r="L109" s="1128">
        <v>49.83239548635558</v>
      </c>
      <c r="M109" s="1128">
        <v>45.641905674337181</v>
      </c>
      <c r="N109" s="277">
        <v>44.050073279480067</v>
      </c>
      <c r="O109" s="277">
        <v>31.494006305690192</v>
      </c>
      <c r="P109" s="277">
        <v>34.6632763999025</v>
      </c>
      <c r="Q109" s="277">
        <v>22.213570743049065</v>
      </c>
      <c r="R109" s="277">
        <v>37.090938703026787</v>
      </c>
      <c r="S109" s="277">
        <v>35.094121526222452</v>
      </c>
      <c r="T109" s="277">
        <v>30.681809038821008</v>
      </c>
      <c r="U109" s="277">
        <v>44.387183909471126</v>
      </c>
      <c r="V109" s="277">
        <v>41.555854870888076</v>
      </c>
      <c r="W109" s="277">
        <v>46.236764388261939</v>
      </c>
      <c r="X109" s="277">
        <v>33.821211126064874</v>
      </c>
      <c r="Y109" s="277">
        <v>33.25841522093836</v>
      </c>
      <c r="Z109" s="277">
        <v>27.6996226190888</v>
      </c>
      <c r="AA109" s="277">
        <v>30.580513899226151</v>
      </c>
      <c r="AB109" s="277">
        <v>35.896072075385611</v>
      </c>
      <c r="AC109" s="277">
        <v>50.620689655172413</v>
      </c>
      <c r="AD109" s="277">
        <v>54.539903002501909</v>
      </c>
      <c r="AE109" s="277">
        <v>54.402652097183292</v>
      </c>
      <c r="AF109" s="277">
        <v>49.74101635894764</v>
      </c>
    </row>
    <row r="110" spans="1:32">
      <c r="A110" s="21">
        <v>343</v>
      </c>
      <c r="B110" s="21" t="s">
        <v>57</v>
      </c>
      <c r="C110" s="1121"/>
      <c r="D110" s="1121"/>
      <c r="E110" s="1121"/>
      <c r="F110" s="1121"/>
      <c r="G110" s="1121"/>
      <c r="H110" s="1121"/>
      <c r="I110" s="1121"/>
      <c r="J110" s="1121"/>
      <c r="K110" s="1121"/>
      <c r="L110" s="1121"/>
      <c r="M110" s="1121">
        <v>25.819470536989513</v>
      </c>
      <c r="N110" s="270">
        <v>22.907614897247246</v>
      </c>
      <c r="O110" s="270">
        <v>54.345223231830339</v>
      </c>
      <c r="P110" s="270">
        <v>46.750102362860176</v>
      </c>
      <c r="Q110" s="270">
        <v>38.194373304810668</v>
      </c>
      <c r="R110" s="270">
        <v>33.011210254228814</v>
      </c>
      <c r="S110" s="270">
        <v>28.180242992311587</v>
      </c>
      <c r="T110" s="270">
        <v>37.312192334549579</v>
      </c>
      <c r="U110" s="270">
        <v>41.206498762143049</v>
      </c>
      <c r="V110" s="270">
        <v>42.171773346313827</v>
      </c>
      <c r="W110" s="270">
        <v>48.630652734887263</v>
      </c>
      <c r="X110" s="270">
        <v>42.692684345345775</v>
      </c>
      <c r="Y110" s="270">
        <v>38.029706955533022</v>
      </c>
      <c r="Z110" s="270">
        <v>37.876462308041006</v>
      </c>
      <c r="AA110" s="270">
        <v>41.122698179202537</v>
      </c>
      <c r="AB110" s="270">
        <v>45.475701192174981</v>
      </c>
      <c r="AC110" s="270">
        <v>48.133412669057456</v>
      </c>
      <c r="AD110" s="270">
        <v>53.428534900044276</v>
      </c>
      <c r="AE110" s="270">
        <v>52.587028969504722</v>
      </c>
      <c r="AF110" s="270">
        <v>44.299773239493916</v>
      </c>
    </row>
    <row r="111" spans="1:32">
      <c r="A111" s="21">
        <v>781</v>
      </c>
      <c r="B111" s="21" t="s">
        <v>166</v>
      </c>
      <c r="C111" s="1125">
        <v>153.54335620711166</v>
      </c>
      <c r="D111" s="1125">
        <v>166.36350192250814</v>
      </c>
      <c r="E111" s="1125">
        <v>159.79691591504221</v>
      </c>
      <c r="F111" s="1125">
        <v>132.63061074319353</v>
      </c>
      <c r="G111" s="1125">
        <v>77.166450777202073</v>
      </c>
      <c r="H111" s="1125">
        <v>71.644882587505549</v>
      </c>
      <c r="I111" s="1125">
        <v>68.075103489059728</v>
      </c>
      <c r="J111" s="1125">
        <v>78.715086372360858</v>
      </c>
      <c r="K111" s="1125">
        <v>75.855309375844371</v>
      </c>
      <c r="L111" s="1125">
        <v>79.193650052527119</v>
      </c>
      <c r="M111" s="1125">
        <v>85.452996446132133</v>
      </c>
      <c r="N111" s="274">
        <v>76.930086898395729</v>
      </c>
      <c r="O111" s="274">
        <v>78.026592743033646</v>
      </c>
      <c r="P111" s="274">
        <v>67.128586837263299</v>
      </c>
      <c r="Q111" s="274">
        <v>77.735872419812353</v>
      </c>
      <c r="R111" s="274">
        <v>92.657737271352829</v>
      </c>
      <c r="S111" s="274">
        <v>91.71288436144124</v>
      </c>
      <c r="T111" s="274">
        <v>91.22254540650755</v>
      </c>
      <c r="U111" s="274">
        <v>92.430916502912027</v>
      </c>
      <c r="V111" s="274">
        <v>90.505912667497597</v>
      </c>
      <c r="W111" s="274">
        <v>89.472848266040302</v>
      </c>
      <c r="X111" s="274">
        <v>86.833097812374007</v>
      </c>
      <c r="Y111" s="274">
        <v>86.457098768442876</v>
      </c>
      <c r="Z111" s="274">
        <v>87.458223739140251</v>
      </c>
      <c r="AA111" s="274">
        <v>91.926192071636976</v>
      </c>
      <c r="AB111" s="274">
        <v>64.622375926385644</v>
      </c>
      <c r="AC111" s="274">
        <v>84.894361650465839</v>
      </c>
      <c r="AD111" s="274">
        <v>83.183091300025936</v>
      </c>
      <c r="AE111" s="274">
        <v>83.560601699063895</v>
      </c>
      <c r="AF111" s="274">
        <v>67.042760306525921</v>
      </c>
    </row>
    <row r="112" spans="1:32">
      <c r="A112" s="21">
        <v>580</v>
      </c>
      <c r="B112" s="21" t="s">
        <v>124</v>
      </c>
      <c r="C112" s="1122">
        <v>13.342755670674089</v>
      </c>
      <c r="D112" s="1122">
        <v>11.505272759473922</v>
      </c>
      <c r="E112" s="1122">
        <v>11.224690036571223</v>
      </c>
      <c r="F112" s="1122">
        <v>10.570551497829998</v>
      </c>
      <c r="G112" s="1122">
        <v>13.282972359806838</v>
      </c>
      <c r="H112" s="1122">
        <v>12.241654806830718</v>
      </c>
      <c r="I112" s="1122">
        <v>12.148557906053005</v>
      </c>
      <c r="J112" s="1122">
        <v>16.56455034023633</v>
      </c>
      <c r="K112" s="1122">
        <v>16.299242540855037</v>
      </c>
      <c r="L112" s="1122">
        <v>18.448813951938828</v>
      </c>
      <c r="M112" s="1122">
        <v>16.60214881972616</v>
      </c>
      <c r="N112" s="271">
        <v>18.109625217404137</v>
      </c>
      <c r="O112" s="271">
        <v>16.383778998096769</v>
      </c>
      <c r="P112" s="271">
        <v>15.317519445168623</v>
      </c>
      <c r="Q112" s="271">
        <v>22.032269382283967</v>
      </c>
      <c r="R112" s="271">
        <v>24.134484673171094</v>
      </c>
      <c r="S112" s="271">
        <v>20.492433526579109</v>
      </c>
      <c r="T112" s="271">
        <v>21.866142303031832</v>
      </c>
      <c r="U112" s="271">
        <v>21.520575697489537</v>
      </c>
      <c r="V112" s="271">
        <v>24.465418174621057</v>
      </c>
      <c r="W112" s="271">
        <v>30.679320529444315</v>
      </c>
      <c r="X112" s="271">
        <v>29.078574446894791</v>
      </c>
      <c r="Y112" s="271">
        <v>16.008379476949653</v>
      </c>
      <c r="Z112" s="271">
        <v>23.085744409403645</v>
      </c>
      <c r="AA112" s="271">
        <v>32.636436783887191</v>
      </c>
      <c r="AB112" s="271">
        <v>28.21640010876585</v>
      </c>
      <c r="AC112" s="271">
        <v>29.7320923586866</v>
      </c>
      <c r="AD112" s="271">
        <v>30.323654742475519</v>
      </c>
      <c r="AE112" s="271">
        <v>26.510719976901832</v>
      </c>
      <c r="AF112" s="271">
        <v>28.484862828291174</v>
      </c>
    </row>
    <row r="113" spans="1:32">
      <c r="A113" s="21">
        <v>820</v>
      </c>
      <c r="B113" s="21" t="s">
        <v>172</v>
      </c>
      <c r="C113" s="1124">
        <v>56.686542746688296</v>
      </c>
      <c r="D113" s="1124">
        <v>51.558238124949341</v>
      </c>
      <c r="E113" s="1124">
        <v>50.130252739806771</v>
      </c>
      <c r="F113" s="1124">
        <v>50.415509438576024</v>
      </c>
      <c r="G113" s="1124">
        <v>53.459643376059383</v>
      </c>
      <c r="H113" s="1124">
        <v>54.088747610897649</v>
      </c>
      <c r="I113" s="1124">
        <v>55.456940414836417</v>
      </c>
      <c r="J113" s="1124">
        <v>62.894497321750876</v>
      </c>
      <c r="K113" s="1124">
        <v>66.415501211239985</v>
      </c>
      <c r="L113" s="1124">
        <v>71.376848119914456</v>
      </c>
      <c r="M113" s="1124">
        <v>74.541695918240293</v>
      </c>
      <c r="N113" s="273">
        <v>77.826127207075672</v>
      </c>
      <c r="O113" s="273">
        <v>75.983861516800388</v>
      </c>
      <c r="P113" s="273">
        <v>78.920742463220378</v>
      </c>
      <c r="Q113" s="273">
        <v>89.151229026284469</v>
      </c>
      <c r="R113" s="273">
        <v>94.089595159682361</v>
      </c>
      <c r="S113" s="273">
        <v>91.575793137217104</v>
      </c>
      <c r="T113" s="273">
        <v>93.289446923794202</v>
      </c>
      <c r="U113" s="273">
        <v>115.74373343483084</v>
      </c>
      <c r="V113" s="273">
        <v>121.31139110815398</v>
      </c>
      <c r="W113" s="273">
        <v>119.80970872696766</v>
      </c>
      <c r="X113" s="273">
        <v>110.40249135654705</v>
      </c>
      <c r="Y113" s="273">
        <v>108.3053027950513</v>
      </c>
      <c r="Z113" s="273">
        <v>106.94344614811506</v>
      </c>
      <c r="AA113" s="273">
        <v>115.37333772107465</v>
      </c>
      <c r="AB113" s="273">
        <v>117.46576194623357</v>
      </c>
      <c r="AC113" s="273">
        <v>116.54895803050269</v>
      </c>
      <c r="AD113" s="273">
        <v>110.01995174823105</v>
      </c>
      <c r="AE113" s="273">
        <v>103.30176391908836</v>
      </c>
      <c r="AF113" s="273">
        <v>96.417321502397428</v>
      </c>
    </row>
    <row r="114" spans="1:32">
      <c r="A114" s="21">
        <v>590</v>
      </c>
      <c r="B114" s="21" t="s">
        <v>126</v>
      </c>
      <c r="C114" s="1129">
        <v>50.953008090034068</v>
      </c>
      <c r="D114" s="1129">
        <v>44.53813125156838</v>
      </c>
      <c r="E114" s="1129">
        <v>46.958371356777398</v>
      </c>
      <c r="F114" s="1129">
        <v>46.447506134221967</v>
      </c>
      <c r="G114" s="1129">
        <v>48.466302433229558</v>
      </c>
      <c r="H114" s="1129">
        <v>53.302365778255059</v>
      </c>
      <c r="I114" s="1129">
        <v>60.249421469095253</v>
      </c>
      <c r="J114" s="1129">
        <v>64.295157910524409</v>
      </c>
      <c r="K114" s="1129">
        <v>64.453969331403869</v>
      </c>
      <c r="L114" s="1129">
        <v>63.9346829191661</v>
      </c>
      <c r="M114" s="1129">
        <v>64.956896551724142</v>
      </c>
      <c r="N114" s="278">
        <v>62.305288928900346</v>
      </c>
      <c r="O114" s="278">
        <v>59.304597454217955</v>
      </c>
      <c r="P114" s="278">
        <v>58.242539358627596</v>
      </c>
      <c r="Q114" s="278">
        <v>56.722760065035416</v>
      </c>
      <c r="R114" s="278">
        <v>58.65758769675061</v>
      </c>
      <c r="S114" s="278">
        <v>63.585569827924751</v>
      </c>
      <c r="T114" s="278">
        <v>61.462105528053399</v>
      </c>
      <c r="U114" s="278">
        <v>65.683738433877096</v>
      </c>
      <c r="V114" s="278">
        <v>63.93519690897562</v>
      </c>
      <c r="W114" s="278">
        <v>61.38569565207613</v>
      </c>
      <c r="X114" s="278">
        <v>68.456763791868951</v>
      </c>
      <c r="Y114" s="278">
        <v>61.819010978707645</v>
      </c>
      <c r="Z114" s="278">
        <v>56.678037771906673</v>
      </c>
      <c r="AA114" s="278">
        <v>54.020842553976223</v>
      </c>
      <c r="AB114" s="278">
        <v>59.854872937693926</v>
      </c>
      <c r="AC114" s="278">
        <v>61.614661175624263</v>
      </c>
      <c r="AD114" s="278">
        <v>58.788642149779044</v>
      </c>
      <c r="AE114" s="278">
        <v>52.914946386691767</v>
      </c>
      <c r="AF114" s="278">
        <v>48.445185317628436</v>
      </c>
    </row>
    <row r="115" spans="1:32">
      <c r="A115" s="21">
        <v>553</v>
      </c>
      <c r="B115" s="21" t="s">
        <v>118</v>
      </c>
      <c r="C115" s="1123">
        <v>24.843298383259828</v>
      </c>
      <c r="D115" s="1123">
        <v>25.665554391569117</v>
      </c>
      <c r="E115" s="1123">
        <v>22.495183044315993</v>
      </c>
      <c r="F115" s="1123">
        <v>20.75156668622148</v>
      </c>
      <c r="G115" s="1123">
        <v>28.370623061801499</v>
      </c>
      <c r="H115" s="1123">
        <v>24.191475538139347</v>
      </c>
      <c r="I115" s="1123">
        <v>22.910708944183888</v>
      </c>
      <c r="J115" s="1123">
        <v>25.452528562060039</v>
      </c>
      <c r="K115" s="1123">
        <v>23.322205522861022</v>
      </c>
      <c r="L115" s="1123">
        <v>18.779909302655803</v>
      </c>
      <c r="M115" s="1123">
        <v>23.782073586842841</v>
      </c>
      <c r="N115" s="272">
        <v>23.27158353643031</v>
      </c>
      <c r="O115" s="272">
        <v>23.206225330063603</v>
      </c>
      <c r="P115" s="272">
        <v>16.130302046629595</v>
      </c>
      <c r="Q115" s="272">
        <v>29.632822111901408</v>
      </c>
      <c r="R115" s="272">
        <v>30.368481401294538</v>
      </c>
      <c r="S115" s="272">
        <v>22.825752844684661</v>
      </c>
      <c r="T115" s="272">
        <v>21.356509424450728</v>
      </c>
      <c r="U115" s="272">
        <v>32.770162051222115</v>
      </c>
      <c r="V115" s="272">
        <v>28.022280578643006</v>
      </c>
      <c r="W115" s="272">
        <v>25.603652488453555</v>
      </c>
      <c r="X115" s="272">
        <v>27.991226346845593</v>
      </c>
      <c r="Y115" s="272">
        <v>20.802663639655155</v>
      </c>
      <c r="Z115" s="272">
        <v>26.696715166717961</v>
      </c>
      <c r="AA115" s="272">
        <v>24.959859348556581</v>
      </c>
      <c r="AB115" s="272">
        <v>24.04686158508046</v>
      </c>
      <c r="AC115" s="272">
        <v>22.618454271213125</v>
      </c>
      <c r="AD115" s="272">
        <v>27.069943766801448</v>
      </c>
      <c r="AE115" s="272">
        <v>29.524077236230539</v>
      </c>
      <c r="AF115" s="272">
        <v>30.047516135136824</v>
      </c>
    </row>
    <row r="116" spans="1:32">
      <c r="A116" s="21">
        <v>70</v>
      </c>
      <c r="B116" s="21" t="s">
        <v>15</v>
      </c>
      <c r="C116" s="1130">
        <v>10.70529843472573</v>
      </c>
      <c r="D116" s="1130">
        <v>10.4087556747245</v>
      </c>
      <c r="E116" s="1130">
        <v>15.331098979475591</v>
      </c>
      <c r="F116" s="1130">
        <v>19.002404869291727</v>
      </c>
      <c r="G116" s="1130">
        <v>17.381136677873588</v>
      </c>
      <c r="H116" s="1130">
        <v>15.414891572245537</v>
      </c>
      <c r="I116" s="1130">
        <v>17.340741231721164</v>
      </c>
      <c r="J116" s="1130">
        <v>19.498267776785006</v>
      </c>
      <c r="K116" s="1130">
        <v>19.927874027508029</v>
      </c>
      <c r="L116" s="1130">
        <v>18.996941638676095</v>
      </c>
      <c r="M116" s="1130">
        <v>18.600792670684793</v>
      </c>
      <c r="N116" s="279">
        <v>16.364870655779043</v>
      </c>
      <c r="O116" s="279">
        <v>15.237793247829835</v>
      </c>
      <c r="P116" s="279">
        <v>15.247613861356669</v>
      </c>
      <c r="Q116" s="279">
        <v>16.788714867929929</v>
      </c>
      <c r="R116" s="279">
        <v>30.362373651423013</v>
      </c>
      <c r="S116" s="279">
        <v>32.076499644891513</v>
      </c>
      <c r="T116" s="279">
        <v>30.266888256073486</v>
      </c>
      <c r="U116" s="279">
        <v>30.694359926895494</v>
      </c>
      <c r="V116" s="279">
        <v>30.737508694318592</v>
      </c>
      <c r="W116" s="279">
        <v>30.939059656940117</v>
      </c>
      <c r="X116" s="279">
        <v>27.559003800265376</v>
      </c>
      <c r="Y116" s="279">
        <v>26.822577912188628</v>
      </c>
      <c r="Z116" s="279">
        <v>25.354897775583733</v>
      </c>
      <c r="AA116" s="279">
        <v>26.605318074632034</v>
      </c>
      <c r="AB116" s="279">
        <v>27.101428172001668</v>
      </c>
      <c r="AC116" s="279">
        <v>27.958881245833982</v>
      </c>
      <c r="AD116" s="279">
        <v>28.209314281671428</v>
      </c>
      <c r="AE116" s="279">
        <v>28.166547758298353</v>
      </c>
      <c r="AF116" s="279">
        <v>27.844279409038915</v>
      </c>
    </row>
    <row r="117" spans="1:32">
      <c r="A117" s="21">
        <v>359</v>
      </c>
      <c r="B117" s="21" t="s">
        <v>65</v>
      </c>
      <c r="C117" s="1132"/>
      <c r="D117" s="1132"/>
      <c r="E117" s="1132"/>
      <c r="F117" s="1132"/>
      <c r="G117" s="1132"/>
      <c r="H117" s="1132"/>
      <c r="I117" s="1132"/>
      <c r="J117" s="1132"/>
      <c r="K117" s="1132"/>
      <c r="L117" s="1132"/>
      <c r="M117" s="1132">
        <v>48.224633453894917</v>
      </c>
      <c r="N117" s="280">
        <v>32.432432432432435</v>
      </c>
      <c r="O117" s="280">
        <v>38.935111226556749</v>
      </c>
      <c r="P117" s="280">
        <v>21.123082472272905</v>
      </c>
      <c r="Q117" s="280">
        <v>38.242055525789958</v>
      </c>
      <c r="R117" s="280">
        <v>49.345825924725176</v>
      </c>
      <c r="S117" s="280">
        <v>55.267130933672625</v>
      </c>
      <c r="T117" s="280">
        <v>54.787091049051085</v>
      </c>
      <c r="U117" s="280">
        <v>48.528292500085186</v>
      </c>
      <c r="V117" s="280">
        <v>52.08641852308503</v>
      </c>
      <c r="W117" s="280">
        <v>49.778014080888198</v>
      </c>
      <c r="X117" s="280">
        <v>49.853548636745096</v>
      </c>
      <c r="Y117" s="280">
        <v>52.740427120972299</v>
      </c>
      <c r="Z117" s="280">
        <v>53.481203955926148</v>
      </c>
      <c r="AA117" s="280">
        <v>50.706798701801645</v>
      </c>
      <c r="AB117" s="280">
        <v>51.144304374372496</v>
      </c>
      <c r="AC117" s="280">
        <v>45.255965747431972</v>
      </c>
      <c r="AD117" s="280">
        <v>47.452462232945877</v>
      </c>
      <c r="AE117" s="280">
        <v>40.819043779042616</v>
      </c>
      <c r="AF117" s="280">
        <v>36.831778891794215</v>
      </c>
    </row>
    <row r="118" spans="1:32">
      <c r="A118" s="21">
        <v>432</v>
      </c>
      <c r="B118" s="21" t="s">
        <v>86</v>
      </c>
      <c r="C118" s="1126">
        <v>14.697003729166184</v>
      </c>
      <c r="D118" s="1126">
        <v>13.427879185191943</v>
      </c>
      <c r="E118" s="1126">
        <v>14.328782253587363</v>
      </c>
      <c r="F118" s="1126">
        <v>16.137075973153934</v>
      </c>
      <c r="G118" s="1126">
        <v>17.795986543274463</v>
      </c>
      <c r="H118" s="1126">
        <v>16.7592638346093</v>
      </c>
      <c r="I118" s="1126">
        <v>15.309687666774499</v>
      </c>
      <c r="J118" s="1126">
        <v>16.556159102668214</v>
      </c>
      <c r="K118" s="1126">
        <v>16.369075423099947</v>
      </c>
      <c r="L118" s="1126">
        <v>16.659485929660683</v>
      </c>
      <c r="M118" s="1126">
        <v>17.149423418422096</v>
      </c>
      <c r="N118" s="275">
        <v>18.236430499908813</v>
      </c>
      <c r="O118" s="275">
        <v>15.433975119833176</v>
      </c>
      <c r="P118" s="275">
        <v>15.838322570552965</v>
      </c>
      <c r="Q118" s="275">
        <v>23.006230353316525</v>
      </c>
      <c r="R118" s="275">
        <v>21.11179665046501</v>
      </c>
      <c r="S118" s="275">
        <v>20.033810128349401</v>
      </c>
      <c r="T118" s="275">
        <v>26.117921160286006</v>
      </c>
      <c r="U118" s="275">
        <v>24.786364536158221</v>
      </c>
      <c r="V118" s="275">
        <v>26.450910770574886</v>
      </c>
      <c r="W118" s="275">
        <v>26.782201322999132</v>
      </c>
      <c r="X118" s="275">
        <v>33.296958996150856</v>
      </c>
      <c r="Y118" s="275">
        <v>31.875009217380018</v>
      </c>
      <c r="Z118" s="275">
        <v>26.421330407290149</v>
      </c>
      <c r="AA118" s="275">
        <v>25.375206490264212</v>
      </c>
      <c r="AB118" s="275">
        <v>25.62191207975172</v>
      </c>
      <c r="AC118" s="275">
        <v>32.112694834532263</v>
      </c>
      <c r="AD118" s="275">
        <v>26.175182481751825</v>
      </c>
      <c r="AE118" s="275"/>
      <c r="AF118" s="275"/>
    </row>
    <row r="119" spans="1:32">
      <c r="A119" s="21">
        <v>338</v>
      </c>
      <c r="B119" s="21" t="s">
        <v>55</v>
      </c>
      <c r="C119" s="1127">
        <v>80.933568824325945</v>
      </c>
      <c r="D119" s="1127">
        <v>72.535524522688746</v>
      </c>
      <c r="E119" s="1127">
        <v>61.5988544687321</v>
      </c>
      <c r="F119" s="1127">
        <v>59.805995850826164</v>
      </c>
      <c r="G119" s="1127">
        <v>62.418456497831066</v>
      </c>
      <c r="H119" s="1127">
        <v>64.500032897409127</v>
      </c>
      <c r="I119" s="1127">
        <v>64.334914696426864</v>
      </c>
      <c r="J119" s="1127">
        <v>69.58023603809761</v>
      </c>
      <c r="K119" s="1127">
        <v>70.405004742237423</v>
      </c>
      <c r="L119" s="1127">
        <v>72.134227552281288</v>
      </c>
      <c r="M119" s="1127">
        <v>75.833623200972312</v>
      </c>
      <c r="N119" s="276">
        <v>77.371964372639994</v>
      </c>
      <c r="O119" s="276">
        <v>81.7595782675496</v>
      </c>
      <c r="P119" s="276">
        <v>84.812183570856504</v>
      </c>
      <c r="Q119" s="276">
        <v>85.961842879789231</v>
      </c>
      <c r="R119" s="276">
        <v>83.449725166202938</v>
      </c>
      <c r="S119" s="276">
        <v>77.419409790131581</v>
      </c>
      <c r="T119" s="276">
        <v>76.276359635218</v>
      </c>
      <c r="U119" s="276">
        <v>78.870652777332339</v>
      </c>
      <c r="V119" s="276">
        <v>82.885522237448299</v>
      </c>
      <c r="W119" s="276">
        <v>92.054254368139254</v>
      </c>
      <c r="X119" s="276">
        <v>81.847189619215683</v>
      </c>
      <c r="Y119" s="276">
        <v>84.363160693652574</v>
      </c>
      <c r="Z119" s="276">
        <v>80.812354588838957</v>
      </c>
      <c r="AA119" s="276">
        <v>78.919543293793595</v>
      </c>
      <c r="AB119" s="276">
        <v>77.084765535487364</v>
      </c>
      <c r="AC119" s="276">
        <v>86.76943464619103</v>
      </c>
      <c r="AD119" s="276">
        <v>90.501478156137082</v>
      </c>
      <c r="AE119" s="276">
        <v>83.839122486288858</v>
      </c>
      <c r="AF119" s="276">
        <v>74.179522409864859</v>
      </c>
    </row>
    <row r="120" spans="1:32">
      <c r="A120" s="21">
        <v>341</v>
      </c>
      <c r="B120" s="21" t="s">
        <v>193</v>
      </c>
      <c r="N120" s="282"/>
      <c r="O120" s="282"/>
      <c r="P120" s="282"/>
      <c r="Q120" s="282"/>
      <c r="R120" s="282"/>
      <c r="S120" s="282"/>
      <c r="T120" s="282"/>
      <c r="U120" s="282"/>
      <c r="V120" s="282"/>
      <c r="W120" s="282">
        <v>36.814991850419304</v>
      </c>
      <c r="X120" s="282">
        <v>38.423751061694077</v>
      </c>
      <c r="Y120" s="282">
        <v>35.362693919564734</v>
      </c>
      <c r="Z120" s="282">
        <v>30.611813787166415</v>
      </c>
      <c r="AA120" s="282">
        <v>42.021619355611449</v>
      </c>
      <c r="AB120" s="282">
        <v>43.548980716253446</v>
      </c>
      <c r="AC120" s="282">
        <v>49.623667923123463</v>
      </c>
      <c r="AD120" s="282">
        <v>44.350068763763929</v>
      </c>
      <c r="AE120" s="282">
        <v>39.472613445721301</v>
      </c>
      <c r="AF120" s="282">
        <v>32.766902060975525</v>
      </c>
    </row>
    <row r="121" spans="1:32">
      <c r="A121" s="21">
        <v>712</v>
      </c>
      <c r="B121" s="21" t="s">
        <v>155</v>
      </c>
      <c r="C121" s="1133"/>
      <c r="D121" s="1133">
        <v>23.870883425113831</v>
      </c>
      <c r="E121" s="1133">
        <v>26.258757659399766</v>
      </c>
      <c r="F121" s="1133">
        <v>26.608170639078189</v>
      </c>
      <c r="G121" s="1133">
        <v>29.179612626311542</v>
      </c>
      <c r="H121" s="1133">
        <v>26.729748975446427</v>
      </c>
      <c r="I121" s="1133">
        <v>30.178208367595182</v>
      </c>
      <c r="J121" s="1133">
        <v>30.803296996603631</v>
      </c>
      <c r="K121" s="1133">
        <v>28.448988615446137</v>
      </c>
      <c r="L121" s="1133">
        <v>22.486775439625589</v>
      </c>
      <c r="M121" s="1133">
        <v>22.359097889546721</v>
      </c>
      <c r="N121" s="281">
        <v>64.622395058594577</v>
      </c>
      <c r="O121" s="281">
        <v>34.335841345509351</v>
      </c>
      <c r="P121" s="281">
        <v>69.333247302657</v>
      </c>
      <c r="Q121" s="281">
        <v>52.569328312383945</v>
      </c>
      <c r="R121" s="281">
        <v>47.997697568261465</v>
      </c>
      <c r="S121" s="281">
        <v>40.548227398819336</v>
      </c>
      <c r="T121" s="281">
        <v>59.009986225952204</v>
      </c>
      <c r="U121" s="281">
        <v>55.339553572970054</v>
      </c>
      <c r="V121" s="281">
        <v>58.570321165016935</v>
      </c>
      <c r="W121" s="281">
        <v>56.361749928177098</v>
      </c>
      <c r="X121" s="281">
        <v>54.582235871000748</v>
      </c>
      <c r="Y121" s="281">
        <v>55.665525038562627</v>
      </c>
      <c r="Z121" s="281">
        <v>57.671473190529042</v>
      </c>
      <c r="AA121" s="281">
        <v>66.692917820388629</v>
      </c>
      <c r="AB121" s="281">
        <v>64.305271926675076</v>
      </c>
      <c r="AC121" s="281">
        <v>65.334395372886689</v>
      </c>
      <c r="AD121" s="281">
        <v>64.285662594254021</v>
      </c>
      <c r="AE121" s="281">
        <v>57.193423644339802</v>
      </c>
      <c r="AF121" s="281">
        <v>55.836104038522237</v>
      </c>
    </row>
    <row r="122" spans="1:32">
      <c r="A122" s="21">
        <v>600</v>
      </c>
      <c r="B122" s="21" t="s">
        <v>128</v>
      </c>
      <c r="C122" s="1134">
        <v>17.3883115130247</v>
      </c>
      <c r="D122" s="1134">
        <v>20.170482942216228</v>
      </c>
      <c r="E122" s="1134">
        <v>19.249023388092493</v>
      </c>
      <c r="F122" s="1134">
        <v>21.272670605097506</v>
      </c>
      <c r="G122" s="1134">
        <v>23.824312452100628</v>
      </c>
      <c r="H122" s="1134">
        <v>25.349464777552384</v>
      </c>
      <c r="I122" s="1134">
        <v>22.00604167514944</v>
      </c>
      <c r="J122" s="1134">
        <v>23.608262317344153</v>
      </c>
      <c r="K122" s="1134">
        <v>25.930080080162476</v>
      </c>
      <c r="L122" s="1134">
        <v>23.59799650287809</v>
      </c>
      <c r="M122" s="1134">
        <v>26.451575486131212</v>
      </c>
      <c r="N122" s="283">
        <v>24.11112293922605</v>
      </c>
      <c r="O122" s="283">
        <v>25.075152061553279</v>
      </c>
      <c r="P122" s="283">
        <v>26.065517602501529</v>
      </c>
      <c r="Q122" s="283">
        <v>24.891816884198814</v>
      </c>
      <c r="R122" s="283">
        <v>27.419260779121203</v>
      </c>
      <c r="S122" s="283">
        <v>26.281284074205598</v>
      </c>
      <c r="T122" s="283">
        <v>28.460967958075319</v>
      </c>
      <c r="U122" s="283">
        <v>24.411722621850487</v>
      </c>
      <c r="V122" s="283">
        <v>26.322679679337934</v>
      </c>
      <c r="W122" s="283">
        <v>27.982286892351183</v>
      </c>
      <c r="X122" s="283">
        <v>29.411447413473667</v>
      </c>
      <c r="Y122" s="283">
        <v>30.151585224032722</v>
      </c>
      <c r="Z122" s="283">
        <v>28.664775764588978</v>
      </c>
      <c r="AA122" s="283">
        <v>29.370414740156232</v>
      </c>
      <c r="AB122" s="283">
        <v>32.313774093719857</v>
      </c>
      <c r="AC122" s="283">
        <v>34.201273417581199</v>
      </c>
      <c r="AD122" s="283">
        <v>35.748571206028686</v>
      </c>
      <c r="AE122" s="283">
        <v>37.478061038582091</v>
      </c>
      <c r="AF122" s="283">
        <v>28.586971581323706</v>
      </c>
    </row>
    <row r="123" spans="1:32">
      <c r="A123" s="21">
        <v>983</v>
      </c>
      <c r="B123" s="21" t="s">
        <v>187</v>
      </c>
    </row>
    <row r="124" spans="1:32">
      <c r="A124" s="21">
        <v>775</v>
      </c>
      <c r="B124" s="21" t="s">
        <v>164</v>
      </c>
      <c r="C124" s="1136">
        <v>9.0989149721117872</v>
      </c>
      <c r="D124" s="1136">
        <v>8.8619402985074629</v>
      </c>
      <c r="E124" s="1136">
        <v>7.0197177364208159</v>
      </c>
      <c r="F124" s="1136">
        <v>6.7699657500630144</v>
      </c>
      <c r="G124" s="1136">
        <v>5.8454763414100119</v>
      </c>
      <c r="H124" s="1136">
        <v>4.5830434782926766</v>
      </c>
      <c r="I124" s="1136">
        <v>4.0980552153671743</v>
      </c>
      <c r="J124" s="1136">
        <v>2.4090949228215428</v>
      </c>
      <c r="K124" s="1136">
        <v>3.1163512752970668</v>
      </c>
      <c r="L124" s="1136">
        <v>2.9342401060374614</v>
      </c>
      <c r="M124" s="1136">
        <v>1.9432491736945956</v>
      </c>
      <c r="N124" s="285">
        <v>1.5663074992612516</v>
      </c>
      <c r="O124" s="285">
        <v>1.4394852817642074</v>
      </c>
      <c r="P124" s="285">
        <v>1.1733436352671383</v>
      </c>
      <c r="Q124" s="285">
        <v>1.1432944401988179</v>
      </c>
      <c r="R124" s="285">
        <v>0.83227363000616816</v>
      </c>
      <c r="S124" s="285">
        <v>0.69294679158564609</v>
      </c>
      <c r="T124" s="285">
        <v>0.57587746056530142</v>
      </c>
      <c r="U124" s="285">
        <v>0.41794634781485124</v>
      </c>
      <c r="V124" s="285">
        <v>0.3215511888673801</v>
      </c>
      <c r="W124" s="285">
        <v>0.49464632611401188</v>
      </c>
      <c r="X124" s="285">
        <v>0.4607617025018092</v>
      </c>
      <c r="Y124" s="285">
        <v>0.35473947403273276</v>
      </c>
      <c r="Z124" s="285">
        <v>0.18296880394203885</v>
      </c>
      <c r="AA124" s="285">
        <v>0.18390935759052637</v>
      </c>
      <c r="AB124" s="285"/>
      <c r="AC124" s="285"/>
      <c r="AD124" s="285"/>
      <c r="AE124" s="285"/>
      <c r="AF124" s="285"/>
    </row>
    <row r="125" spans="1:32">
      <c r="A125" s="21">
        <v>541</v>
      </c>
      <c r="B125" s="21" t="s">
        <v>115</v>
      </c>
      <c r="C125" s="1135">
        <v>10.861856000224854</v>
      </c>
      <c r="D125" s="1135">
        <v>9.9495620453616311</v>
      </c>
      <c r="E125" s="1135">
        <v>8.3136420655337719</v>
      </c>
      <c r="F125" s="1135">
        <v>6.1170534288189877</v>
      </c>
      <c r="G125" s="1135">
        <v>4.1456566837576396</v>
      </c>
      <c r="H125" s="1135">
        <v>2.8596107529694841</v>
      </c>
      <c r="I125" s="1135">
        <v>2.5247075406557538</v>
      </c>
      <c r="J125" s="1135">
        <v>6.6411832800433013</v>
      </c>
      <c r="K125" s="1135">
        <v>8.07091813660867</v>
      </c>
      <c r="L125" s="1135">
        <v>8.2234681335509485</v>
      </c>
      <c r="M125" s="1135">
        <v>8.1740690354246688</v>
      </c>
      <c r="N125" s="284">
        <v>10.155582317797309</v>
      </c>
      <c r="O125" s="284">
        <v>13.054573028546551</v>
      </c>
      <c r="P125" s="284">
        <v>12.934354048260332</v>
      </c>
      <c r="Q125" s="284">
        <v>14.072621349204931</v>
      </c>
      <c r="R125" s="284">
        <v>15.601089653793643</v>
      </c>
      <c r="S125" s="284">
        <v>14.786477888884072</v>
      </c>
      <c r="T125" s="284">
        <v>13.35393003865093</v>
      </c>
      <c r="U125" s="284">
        <v>12.249172624060416</v>
      </c>
      <c r="V125" s="284">
        <v>13.166475722503939</v>
      </c>
      <c r="W125" s="284">
        <v>16.48020545972296</v>
      </c>
      <c r="X125" s="284">
        <v>23.385294947573318</v>
      </c>
      <c r="Y125" s="284">
        <v>27.338694229294614</v>
      </c>
      <c r="Z125" s="284">
        <v>28.885491900881455</v>
      </c>
      <c r="AA125" s="284">
        <v>30.87775653883595</v>
      </c>
      <c r="AB125" s="284">
        <v>31.727930239552947</v>
      </c>
      <c r="AC125" s="284">
        <v>38.357868362343318</v>
      </c>
      <c r="AD125" s="284">
        <v>35.350390712137184</v>
      </c>
      <c r="AE125" s="284">
        <v>32.345402161157175</v>
      </c>
      <c r="AF125" s="284">
        <v>25.066895755809394</v>
      </c>
    </row>
    <row r="126" spans="1:32">
      <c r="A126" s="21">
        <v>565</v>
      </c>
      <c r="B126" s="21" t="s">
        <v>120</v>
      </c>
      <c r="C126" s="1137">
        <v>78.922439313203071</v>
      </c>
      <c r="D126" s="1137">
        <v>65.303738317757009</v>
      </c>
      <c r="E126" s="1137">
        <v>61.746680286006125</v>
      </c>
      <c r="F126" s="1137">
        <v>53.885528152629128</v>
      </c>
      <c r="G126" s="1137">
        <v>54.670558798999167</v>
      </c>
      <c r="H126" s="1137">
        <v>61.490066225165563</v>
      </c>
      <c r="I126" s="1137">
        <v>67.220630372492835</v>
      </c>
      <c r="J126" s="1137">
        <v>55.470931708555469</v>
      </c>
      <c r="K126" s="1137">
        <v>54.453399462698904</v>
      </c>
      <c r="L126" s="1137">
        <v>58.506151142355009</v>
      </c>
      <c r="M126" s="1137">
        <v>51.915803321822075</v>
      </c>
      <c r="N126" s="286">
        <v>53.124091833769249</v>
      </c>
      <c r="O126" s="286">
        <v>52.193253428889165</v>
      </c>
      <c r="P126" s="286">
        <v>51.902816598580948</v>
      </c>
      <c r="Q126" s="286">
        <v>48.488784965791979</v>
      </c>
      <c r="R126" s="286">
        <v>49.48843066267905</v>
      </c>
      <c r="S126" s="286">
        <v>50.582905869029382</v>
      </c>
      <c r="T126" s="286">
        <v>47.525520864425999</v>
      </c>
      <c r="U126" s="286">
        <v>45.968385757624141</v>
      </c>
      <c r="V126" s="286">
        <v>46.161284084316378</v>
      </c>
      <c r="W126" s="286">
        <v>40.8774193548387</v>
      </c>
      <c r="X126" s="286">
        <v>41.172425085966921</v>
      </c>
      <c r="Y126" s="286">
        <v>46.003386960203215</v>
      </c>
      <c r="Z126" s="286">
        <v>43.386768174994643</v>
      </c>
      <c r="AA126" s="286">
        <v>39.811148339932984</v>
      </c>
      <c r="AB126" s="286">
        <v>40.450873811637827</v>
      </c>
      <c r="AC126" s="286">
        <v>39.85155845117346</v>
      </c>
      <c r="AD126" s="286">
        <v>50.733718851178303</v>
      </c>
      <c r="AE126" s="286">
        <v>53.371522758285259</v>
      </c>
      <c r="AF126" s="286">
        <v>46.622062454425667</v>
      </c>
    </row>
    <row r="127" spans="1:32">
      <c r="A127" s="21">
        <v>970</v>
      </c>
      <c r="B127" s="21" t="s">
        <v>186</v>
      </c>
    </row>
    <row r="128" spans="1:32">
      <c r="A128" s="21">
        <v>790</v>
      </c>
      <c r="B128" s="21" t="s">
        <v>167</v>
      </c>
      <c r="C128" s="1138">
        <v>11.54126236476433</v>
      </c>
      <c r="D128" s="1138">
        <v>12.90145416475919</v>
      </c>
      <c r="E128" s="1138">
        <v>11.591584126188739</v>
      </c>
      <c r="F128" s="1138">
        <v>10.231043033175355</v>
      </c>
      <c r="G128" s="1138">
        <v>10.652450102680763</v>
      </c>
      <c r="H128" s="1138">
        <v>11.529214373416906</v>
      </c>
      <c r="I128" s="1138">
        <v>11.662299906682936</v>
      </c>
      <c r="J128" s="1138">
        <v>11.813275084554679</v>
      </c>
      <c r="K128" s="1138">
        <v>11.447169271578291</v>
      </c>
      <c r="L128" s="1138">
        <v>11.067604655591527</v>
      </c>
      <c r="M128" s="1138">
        <v>10.527309120445578</v>
      </c>
      <c r="N128" s="287">
        <v>11.490751286338559</v>
      </c>
      <c r="O128" s="287">
        <v>15.959726129297563</v>
      </c>
      <c r="P128" s="287">
        <v>18.432964105599893</v>
      </c>
      <c r="Q128" s="287">
        <v>18.993937934080051</v>
      </c>
      <c r="R128" s="287">
        <v>24.973158982548192</v>
      </c>
      <c r="S128" s="287">
        <v>22.81757511660701</v>
      </c>
      <c r="T128" s="287">
        <v>26.327835073597299</v>
      </c>
      <c r="U128" s="287">
        <v>22.822051222390265</v>
      </c>
      <c r="V128" s="287">
        <v>22.848472090657125</v>
      </c>
      <c r="W128" s="287">
        <v>23.284003710262251</v>
      </c>
      <c r="X128" s="287">
        <v>22.325937632970643</v>
      </c>
      <c r="Y128" s="287">
        <v>17.737129524228251</v>
      </c>
      <c r="Z128" s="287">
        <v>15.699945757174985</v>
      </c>
      <c r="AA128" s="287">
        <v>16.682658002157432</v>
      </c>
      <c r="AB128" s="287">
        <v>14.583686792939405</v>
      </c>
      <c r="AC128" s="287">
        <v>13.447187163159061</v>
      </c>
      <c r="AD128" s="287">
        <v>13.043376756781996</v>
      </c>
      <c r="AE128" s="287">
        <v>12.076720336363225</v>
      </c>
      <c r="AF128" s="287">
        <v>15.704403387044524</v>
      </c>
    </row>
    <row r="129" spans="1:32">
      <c r="A129" s="21">
        <v>920</v>
      </c>
      <c r="B129" s="21" t="s">
        <v>179</v>
      </c>
      <c r="C129" s="1140">
        <v>29.124717621051339</v>
      </c>
      <c r="D129" s="1140">
        <v>28.261465203296471</v>
      </c>
      <c r="E129" s="1140">
        <v>28.052764664300987</v>
      </c>
      <c r="F129" s="1140">
        <v>28.600427499899045</v>
      </c>
      <c r="G129" s="1140">
        <v>31.804114108907211</v>
      </c>
      <c r="H129" s="1140">
        <v>29.125190755941055</v>
      </c>
      <c r="I129" s="1140">
        <v>26.347433645122909</v>
      </c>
      <c r="J129" s="1140">
        <v>25.778417635187296</v>
      </c>
      <c r="K129" s="1140">
        <v>25.946287396256469</v>
      </c>
      <c r="L129" s="1140">
        <v>26.074592893191429</v>
      </c>
      <c r="M129" s="1140">
        <v>26.528679199317462</v>
      </c>
      <c r="N129" s="289">
        <v>28.91107187951507</v>
      </c>
      <c r="O129" s="289">
        <v>30.927212026595583</v>
      </c>
      <c r="P129" s="289">
        <v>30.272969441835606</v>
      </c>
      <c r="Q129" s="289">
        <v>30.323735713788935</v>
      </c>
      <c r="R129" s="289">
        <v>28.690239096199843</v>
      </c>
      <c r="S129" s="289">
        <v>27.75819734229162</v>
      </c>
      <c r="T129" s="289">
        <v>27.739033377032602</v>
      </c>
      <c r="U129" s="289">
        <v>29.046492639533383</v>
      </c>
      <c r="V129" s="289">
        <v>30.230441670690283</v>
      </c>
      <c r="W129" s="289">
        <v>35.128555775664232</v>
      </c>
      <c r="X129" s="289">
        <v>34.710064850286678</v>
      </c>
      <c r="Y129" s="289">
        <v>32.143151826441695</v>
      </c>
      <c r="Z129" s="289">
        <v>28.745947915265969</v>
      </c>
      <c r="AA129" s="289">
        <v>28.613876070456069</v>
      </c>
      <c r="AB129" s="289">
        <v>27.3594109345905</v>
      </c>
      <c r="AC129" s="289">
        <v>28.622460397360417</v>
      </c>
      <c r="AD129" s="289">
        <v>28.275952688467026</v>
      </c>
      <c r="AE129" s="289">
        <v>30.672301372594458</v>
      </c>
      <c r="AF129" s="289">
        <v>28.204172479526306</v>
      </c>
    </row>
    <row r="130" spans="1:32">
      <c r="A130" s="21">
        <v>93</v>
      </c>
      <c r="B130" s="21" t="s">
        <v>20</v>
      </c>
      <c r="C130" s="1141">
        <v>24.228800356364637</v>
      </c>
      <c r="D130" s="1141">
        <v>22.344165713218967</v>
      </c>
      <c r="E130" s="1141">
        <v>15.978821506063614</v>
      </c>
      <c r="F130" s="1141">
        <v>19.400305597800529</v>
      </c>
      <c r="G130" s="1141">
        <v>16.443038711914841</v>
      </c>
      <c r="H130" s="1141">
        <v>14.766199636277905</v>
      </c>
      <c r="I130" s="1141">
        <v>12.776313274864496</v>
      </c>
      <c r="J130" s="1141">
        <v>11.770682868902936</v>
      </c>
      <c r="K130" s="1141">
        <v>17.980878530827095</v>
      </c>
      <c r="L130" s="1141">
        <v>32.536793541454649</v>
      </c>
      <c r="M130" s="1141">
        <v>24.948353505221505</v>
      </c>
      <c r="N130" s="290">
        <v>21.821984018169985</v>
      </c>
      <c r="O130" s="290">
        <v>17.251227130745203</v>
      </c>
      <c r="P130" s="290">
        <v>20.427926880320015</v>
      </c>
      <c r="Q130" s="290">
        <v>15.609483040830451</v>
      </c>
      <c r="R130" s="290">
        <v>19.120407169580471</v>
      </c>
      <c r="S130" s="290">
        <v>20.014138464120077</v>
      </c>
      <c r="T130" s="290">
        <v>23.069655990064785</v>
      </c>
      <c r="U130" s="290">
        <v>22.968694203071063</v>
      </c>
      <c r="V130" s="290">
        <v>22.013312879826596</v>
      </c>
      <c r="W130" s="290">
        <v>23.887732222934016</v>
      </c>
      <c r="X130" s="290">
        <v>22.62103551245302</v>
      </c>
      <c r="Y130" s="290">
        <v>22.389672255034828</v>
      </c>
      <c r="Z130" s="290">
        <v>24.596754279073895</v>
      </c>
      <c r="AA130" s="290">
        <v>27.394189635109534</v>
      </c>
      <c r="AB130" s="290">
        <v>28.963752199911209</v>
      </c>
      <c r="AC130" s="290">
        <v>31.310478059445764</v>
      </c>
      <c r="AD130" s="290">
        <v>33.846347624695191</v>
      </c>
      <c r="AE130" s="290">
        <v>37.581515449700717</v>
      </c>
      <c r="AF130" s="290">
        <v>35.127659778921647</v>
      </c>
    </row>
    <row r="131" spans="1:32">
      <c r="A131" s="21">
        <v>475</v>
      </c>
      <c r="B131" s="21" t="s">
        <v>99</v>
      </c>
      <c r="C131" s="1143">
        <v>29.375174468271116</v>
      </c>
      <c r="D131" s="1143">
        <v>22.529999534984533</v>
      </c>
      <c r="E131" s="1143">
        <v>16.343233553404037</v>
      </c>
      <c r="F131" s="1143">
        <v>13.612277642447152</v>
      </c>
      <c r="G131" s="1143">
        <v>14.85080437680795</v>
      </c>
      <c r="H131" s="1143">
        <v>16.098403703959644</v>
      </c>
      <c r="I131" s="1143">
        <v>17.095070466179411</v>
      </c>
      <c r="J131" s="1143">
        <v>28.61000137760022</v>
      </c>
      <c r="K131" s="1143">
        <v>23.121940472174217</v>
      </c>
      <c r="L131" s="1143">
        <v>32.694266728233437</v>
      </c>
      <c r="M131" s="1143">
        <v>43.430978717526678</v>
      </c>
      <c r="N131" s="292">
        <v>37.216764960366064</v>
      </c>
      <c r="O131" s="292">
        <v>42.238786473292834</v>
      </c>
      <c r="P131" s="292">
        <v>47.121205855595072</v>
      </c>
      <c r="Q131" s="292">
        <v>41.755703964524116</v>
      </c>
      <c r="R131" s="292">
        <v>44.287738966303408</v>
      </c>
      <c r="S131" s="292">
        <v>48.144997825726684</v>
      </c>
      <c r="T131" s="292">
        <v>44.951526558764968</v>
      </c>
      <c r="U131" s="292">
        <v>33.525002686788355</v>
      </c>
      <c r="V131" s="292">
        <v>36.89762234713421</v>
      </c>
      <c r="W131" s="292">
        <v>53.976959438324357</v>
      </c>
      <c r="X131" s="292">
        <v>42.994233336805735</v>
      </c>
      <c r="Y131" s="292">
        <v>31.867422436475319</v>
      </c>
      <c r="Z131" s="292">
        <v>42.702727384082415</v>
      </c>
      <c r="AA131" s="292">
        <v>43.951486538376209</v>
      </c>
      <c r="AB131" s="292">
        <v>46.53743931915654</v>
      </c>
      <c r="AC131" s="292">
        <v>42.867618028673938</v>
      </c>
      <c r="AD131" s="292">
        <v>41.019975826125489</v>
      </c>
      <c r="AE131" s="292">
        <v>41.71349950175798</v>
      </c>
      <c r="AF131" s="292">
        <v>35.868403778565074</v>
      </c>
    </row>
    <row r="132" spans="1:32">
      <c r="A132" s="21">
        <v>436</v>
      </c>
      <c r="B132" s="21" t="s">
        <v>90</v>
      </c>
      <c r="C132" s="1142">
        <v>24.584906712592979</v>
      </c>
      <c r="D132" s="1142">
        <v>24.156636477965062</v>
      </c>
      <c r="E132" s="1142">
        <v>20.965310203243646</v>
      </c>
      <c r="F132" s="1142">
        <v>20.826663051106635</v>
      </c>
      <c r="G132" s="1142">
        <v>22.913076171511147</v>
      </c>
      <c r="H132" s="1142">
        <v>20.689123160293445</v>
      </c>
      <c r="I132" s="1142">
        <v>20.003031810103437</v>
      </c>
      <c r="J132" s="1142">
        <v>20.801670049910289</v>
      </c>
      <c r="K132" s="1142">
        <v>18.300941645752463</v>
      </c>
      <c r="L132" s="1142">
        <v>16.597152289716437</v>
      </c>
      <c r="M132" s="1142">
        <v>15.013326009292255</v>
      </c>
      <c r="N132" s="291">
        <v>14.05215928994423</v>
      </c>
      <c r="O132" s="291">
        <v>16.755141818043597</v>
      </c>
      <c r="P132" s="291">
        <v>15.642175123898783</v>
      </c>
      <c r="Q132" s="291">
        <v>16.531973284508926</v>
      </c>
      <c r="R132" s="291">
        <v>17.154985381799907</v>
      </c>
      <c r="S132" s="291">
        <v>16.946469179583968</v>
      </c>
      <c r="T132" s="291">
        <v>16.391637975934039</v>
      </c>
      <c r="U132" s="291">
        <v>17.768564018673541</v>
      </c>
      <c r="V132" s="291">
        <v>15.894091960938731</v>
      </c>
      <c r="W132" s="291">
        <v>17.799125273352079</v>
      </c>
      <c r="X132" s="291">
        <v>16.921458625525947</v>
      </c>
      <c r="Y132" s="291">
        <v>15.203595980962453</v>
      </c>
      <c r="Z132" s="291">
        <v>16.031496062982029</v>
      </c>
      <c r="AA132" s="291">
        <v>16.077628968253968</v>
      </c>
      <c r="AB132" s="291">
        <v>15.038138188296864</v>
      </c>
      <c r="AC132" s="291"/>
      <c r="AD132" s="291"/>
      <c r="AE132" s="291"/>
      <c r="AF132" s="291"/>
    </row>
    <row r="133" spans="1:32">
      <c r="A133" s="21">
        <v>385</v>
      </c>
      <c r="B133" s="21" t="s">
        <v>78</v>
      </c>
      <c r="C133" s="1144">
        <v>43.240821358890109</v>
      </c>
      <c r="D133" s="1144">
        <v>43.278080631438336</v>
      </c>
      <c r="E133" s="1144">
        <v>41.483125576175404</v>
      </c>
      <c r="F133" s="1144">
        <v>41.842268448052316</v>
      </c>
      <c r="G133" s="1144">
        <v>42.923779118269913</v>
      </c>
      <c r="H133" s="1144">
        <v>42.738110753902738</v>
      </c>
      <c r="I133" s="1144">
        <v>34.235547178800893</v>
      </c>
      <c r="J133" s="1144">
        <v>32.374487651456889</v>
      </c>
      <c r="K133" s="1144">
        <v>33.059846151958681</v>
      </c>
      <c r="L133" s="1144">
        <v>38.011124365810538</v>
      </c>
      <c r="M133" s="1144">
        <v>40.145784156872118</v>
      </c>
      <c r="N133" s="293">
        <v>39.941628949359767</v>
      </c>
      <c r="O133" s="293">
        <v>37.871528657467444</v>
      </c>
      <c r="P133" s="293">
        <v>37.916230266563915</v>
      </c>
      <c r="Q133" s="293">
        <v>38.120542963358275</v>
      </c>
      <c r="R133" s="293">
        <v>37.959079408587961</v>
      </c>
      <c r="S133" s="293">
        <v>40.780782757609231</v>
      </c>
      <c r="T133" s="293">
        <v>41.360466414993184</v>
      </c>
      <c r="U133" s="293">
        <v>37.646620365498613</v>
      </c>
      <c r="V133" s="293">
        <v>39.390902802746794</v>
      </c>
      <c r="W133" s="293">
        <v>46.536384018535806</v>
      </c>
      <c r="X133" s="293">
        <v>45.764457634165687</v>
      </c>
      <c r="Y133" s="293">
        <v>41.129812759453557</v>
      </c>
      <c r="Z133" s="293">
        <v>40.292604086016922</v>
      </c>
      <c r="AA133" s="293">
        <v>42.033951008610813</v>
      </c>
      <c r="AB133" s="293">
        <v>44.628918094932665</v>
      </c>
      <c r="AC133" s="293">
        <v>46.419685743431693</v>
      </c>
      <c r="AD133" s="293">
        <v>45.769052481349107</v>
      </c>
      <c r="AE133" s="293">
        <v>48.122474626335141</v>
      </c>
      <c r="AF133" s="293">
        <v>42.019984404366781</v>
      </c>
    </row>
    <row r="134" spans="1:32">
      <c r="A134" s="21">
        <v>210</v>
      </c>
      <c r="B134" s="21" t="s">
        <v>37</v>
      </c>
      <c r="C134" s="1139">
        <v>52.310060027837224</v>
      </c>
      <c r="D134" s="1139">
        <v>56.950503331338986</v>
      </c>
      <c r="E134" s="1139">
        <v>56.961512947076088</v>
      </c>
      <c r="F134" s="1139">
        <v>56.637802718353782</v>
      </c>
      <c r="G134" s="1139">
        <v>60.586826038795436</v>
      </c>
      <c r="H134" s="1139">
        <v>62.149511768835865</v>
      </c>
      <c r="I134" s="1139">
        <v>52.689003727140445</v>
      </c>
      <c r="J134" s="1139">
        <v>51.303876882965007</v>
      </c>
      <c r="K134" s="1139">
        <v>53.676078604386113</v>
      </c>
      <c r="L134" s="1139">
        <v>57.094282103727245</v>
      </c>
      <c r="M134" s="1139">
        <v>56.453876840740072</v>
      </c>
      <c r="N134" s="288">
        <v>57.174162214667312</v>
      </c>
      <c r="O134" s="288">
        <v>55.376277958546247</v>
      </c>
      <c r="P134" s="288">
        <v>54.583660914522149</v>
      </c>
      <c r="Q134" s="288">
        <v>56.786807700794348</v>
      </c>
      <c r="R134" s="288">
        <v>59.36526447859373</v>
      </c>
      <c r="S134" s="288">
        <v>59.631280198902282</v>
      </c>
      <c r="T134" s="288">
        <v>63.316064598509229</v>
      </c>
      <c r="U134" s="288">
        <v>62.562351019687469</v>
      </c>
      <c r="V134" s="288">
        <v>63.040241537262453</v>
      </c>
      <c r="W134" s="288">
        <v>70.08230452674897</v>
      </c>
      <c r="X134" s="288">
        <v>67.276109985683362</v>
      </c>
      <c r="Y134" s="288">
        <v>64.153271397679347</v>
      </c>
      <c r="Z134" s="288">
        <v>63.004748975248717</v>
      </c>
      <c r="AA134" s="288">
        <v>66.392838528942306</v>
      </c>
      <c r="AB134" s="288">
        <v>69.623709844236629</v>
      </c>
      <c r="AC134" s="288">
        <v>72.836606098301417</v>
      </c>
      <c r="AD134" s="288">
        <v>74.600994611932521</v>
      </c>
      <c r="AE134" s="288">
        <v>76.598594019295732</v>
      </c>
      <c r="AF134" s="288">
        <v>69.439397553173578</v>
      </c>
    </row>
    <row r="135" spans="1:32">
      <c r="A135" s="21">
        <v>698</v>
      </c>
      <c r="B135" s="21" t="s">
        <v>147</v>
      </c>
      <c r="C135" s="1145">
        <v>62.659114082131381</v>
      </c>
      <c r="D135" s="1145">
        <v>64.687112427725921</v>
      </c>
      <c r="E135" s="1145">
        <v>58.546023244061665</v>
      </c>
      <c r="F135" s="1145">
        <v>53.651595003669158</v>
      </c>
      <c r="G135" s="1145">
        <v>50.280613610220101</v>
      </c>
      <c r="H135" s="1145">
        <v>49.827832050543094</v>
      </c>
      <c r="I135" s="1145">
        <v>39.246522583670099</v>
      </c>
      <c r="J135" s="1145">
        <v>48.877939378100862</v>
      </c>
      <c r="K135" s="1145">
        <v>40.006202512017367</v>
      </c>
      <c r="L135" s="1145"/>
      <c r="M135" s="1145">
        <v>47.23007411694006</v>
      </c>
      <c r="N135" s="294">
        <v>43.065492560295013</v>
      </c>
      <c r="O135" s="294">
        <v>44.716890476109825</v>
      </c>
      <c r="P135" s="294">
        <v>43.051045022659437</v>
      </c>
      <c r="Q135" s="294">
        <v>43.001227996697416</v>
      </c>
      <c r="R135" s="294">
        <v>44.035348830778254</v>
      </c>
      <c r="S135" s="294">
        <v>49.810190099439737</v>
      </c>
      <c r="T135" s="294">
        <v>50.036948788856449</v>
      </c>
      <c r="U135" s="294">
        <v>41.969590850242064</v>
      </c>
      <c r="V135" s="294">
        <v>48.68760348076195</v>
      </c>
      <c r="W135" s="294">
        <v>59.181589617785122</v>
      </c>
      <c r="X135" s="294">
        <v>57.271364235710188</v>
      </c>
      <c r="Y135" s="294">
        <v>49.331949669217792</v>
      </c>
      <c r="Z135" s="294">
        <v>49.969817698901366</v>
      </c>
      <c r="AA135" s="294">
        <v>51.565299884051861</v>
      </c>
      <c r="AB135" s="294">
        <v>58.613144828746954</v>
      </c>
      <c r="AC135" s="294">
        <v>56.787506183308601</v>
      </c>
      <c r="AD135" s="294">
        <v>56.602953953084281</v>
      </c>
      <c r="AE135" s="294">
        <v>59.288332973905547</v>
      </c>
      <c r="AF135" s="294"/>
    </row>
    <row r="136" spans="1:32">
      <c r="A136" s="21">
        <v>770</v>
      </c>
      <c r="B136" s="21" t="s">
        <v>162</v>
      </c>
      <c r="C136" s="1146">
        <v>12.487284704487136</v>
      </c>
      <c r="D136" s="1146">
        <v>12.317171038466086</v>
      </c>
      <c r="E136" s="1146">
        <v>9.9455949063881217</v>
      </c>
      <c r="F136" s="1146">
        <v>11.918511378698009</v>
      </c>
      <c r="G136" s="1146">
        <v>11.070389592345531</v>
      </c>
      <c r="H136" s="1146">
        <v>10.423348792095656</v>
      </c>
      <c r="I136" s="1146">
        <v>11.900748305770549</v>
      </c>
      <c r="J136" s="1146">
        <v>13.234830062632966</v>
      </c>
      <c r="K136" s="1146">
        <v>13.586423201403349</v>
      </c>
      <c r="L136" s="1146">
        <v>13.883110137716312</v>
      </c>
      <c r="M136" s="1146">
        <v>15.538306887235509</v>
      </c>
      <c r="N136" s="295">
        <v>16.99694312320748</v>
      </c>
      <c r="O136" s="295">
        <v>17.359301827740367</v>
      </c>
      <c r="P136" s="295">
        <v>16.306475194686435</v>
      </c>
      <c r="Q136" s="295">
        <v>16.282515450604187</v>
      </c>
      <c r="R136" s="295">
        <v>16.709969655751955</v>
      </c>
      <c r="S136" s="295">
        <v>16.903101775185327</v>
      </c>
      <c r="T136" s="295">
        <v>16.081953225120991</v>
      </c>
      <c r="U136" s="295">
        <v>16.484791175565494</v>
      </c>
      <c r="V136" s="295">
        <v>15.353499327350214</v>
      </c>
      <c r="W136" s="295">
        <v>13.441324624403212</v>
      </c>
      <c r="X136" s="295">
        <v>14.659539610814864</v>
      </c>
      <c r="Y136" s="295">
        <v>15.223617195497338</v>
      </c>
      <c r="Z136" s="295">
        <v>16.718967406999028</v>
      </c>
      <c r="AA136" s="295">
        <v>15.666899503242574</v>
      </c>
      <c r="AB136" s="295">
        <v>15.689495432308345</v>
      </c>
      <c r="AC136" s="295">
        <v>15.233186041828864</v>
      </c>
      <c r="AD136" s="295">
        <v>14.189542335201622</v>
      </c>
      <c r="AE136" s="295">
        <v>12.852336553709588</v>
      </c>
      <c r="AF136" s="295">
        <v>12.843652133831778</v>
      </c>
    </row>
    <row r="137" spans="1:32">
      <c r="A137" s="21">
        <v>986</v>
      </c>
      <c r="B137" s="21" t="s">
        <v>188</v>
      </c>
      <c r="N137" s="296">
        <v>20.392343927016874</v>
      </c>
      <c r="O137" s="296">
        <v>32.625438139015898</v>
      </c>
      <c r="P137" s="296">
        <v>23.318007561884937</v>
      </c>
      <c r="Q137" s="296">
        <v>15.084942593412908</v>
      </c>
      <c r="R137" s="296">
        <v>14.561567458025767</v>
      </c>
      <c r="S137" s="296">
        <v>12.852693548238033</v>
      </c>
      <c r="T137" s="296">
        <v>10.433430789750293</v>
      </c>
      <c r="U137" s="296">
        <v>9.4561882032049098</v>
      </c>
      <c r="V137" s="296">
        <v>11.961052121425739</v>
      </c>
      <c r="W137" s="296">
        <v>9.6009610972526964</v>
      </c>
      <c r="X137" s="296">
        <v>61.051212938005392</v>
      </c>
      <c r="Y137" s="296">
        <v>65.869155749026831</v>
      </c>
      <c r="Z137" s="296">
        <v>69.521217652043546</v>
      </c>
      <c r="AA137" s="296">
        <v>78.288409703504044</v>
      </c>
      <c r="AB137" s="296">
        <v>77.201089198778774</v>
      </c>
      <c r="AC137" s="296">
        <v>68.937642867176635</v>
      </c>
      <c r="AD137" s="296">
        <v>67.760470877538964</v>
      </c>
      <c r="AE137" s="296">
        <v>80.771966756992825</v>
      </c>
      <c r="AF137" s="296"/>
    </row>
    <row r="138" spans="1:32">
      <c r="A138" s="21">
        <v>95</v>
      </c>
      <c r="B138" s="21" t="s">
        <v>22</v>
      </c>
      <c r="C138" s="1147">
        <v>98.186494501745273</v>
      </c>
      <c r="D138" s="1147">
        <v>94.045493542328472</v>
      </c>
      <c r="E138" s="1147">
        <v>85.772451570927871</v>
      </c>
      <c r="F138" s="1147">
        <v>71.168666571270876</v>
      </c>
      <c r="G138" s="1147">
        <v>67.197383624150561</v>
      </c>
      <c r="H138" s="1147">
        <v>68.609774157719357</v>
      </c>
      <c r="I138" s="1147">
        <v>71.125995332846429</v>
      </c>
      <c r="J138" s="1147">
        <v>71.510916410974929</v>
      </c>
      <c r="K138" s="1147">
        <v>75.203610626730949</v>
      </c>
      <c r="L138" s="1147">
        <v>78.903324808184138</v>
      </c>
      <c r="M138" s="1147">
        <v>86.781976963035461</v>
      </c>
      <c r="N138" s="297">
        <v>96.800917446895923</v>
      </c>
      <c r="O138" s="297">
        <v>100.01053994639683</v>
      </c>
      <c r="P138" s="297">
        <v>97.038344340728273</v>
      </c>
      <c r="Q138" s="297">
        <v>99.785360555476544</v>
      </c>
      <c r="R138" s="297">
        <v>100.69693021843892</v>
      </c>
      <c r="S138" s="297">
        <v>83.431844756009909</v>
      </c>
      <c r="T138" s="297">
        <v>90.105117017056727</v>
      </c>
      <c r="U138" s="297">
        <v>79.177681225703182</v>
      </c>
      <c r="V138" s="297">
        <v>66.539807791346249</v>
      </c>
      <c r="W138" s="297">
        <v>72.575190396282423</v>
      </c>
      <c r="X138" s="297">
        <v>72.720728350624611</v>
      </c>
      <c r="Y138" s="297">
        <v>67.459502623773673</v>
      </c>
      <c r="Z138" s="297">
        <v>63.597562861472802</v>
      </c>
      <c r="AA138" s="297">
        <v>67.60912033739325</v>
      </c>
      <c r="AB138" s="297">
        <v>75.489340239383878</v>
      </c>
      <c r="AC138" s="297">
        <v>76.714710859543672</v>
      </c>
      <c r="AD138" s="297">
        <v>81.195816914216437</v>
      </c>
      <c r="AE138" s="297">
        <v>81.142167011732226</v>
      </c>
      <c r="AF138" s="297">
        <v>77.039779855125246</v>
      </c>
    </row>
    <row r="139" spans="1:32">
      <c r="A139" s="21">
        <v>150</v>
      </c>
      <c r="B139" s="21" t="s">
        <v>31</v>
      </c>
      <c r="C139" s="1149">
        <v>15.309735985987835</v>
      </c>
      <c r="D139" s="1149">
        <v>11.516466050505917</v>
      </c>
      <c r="E139" s="1149">
        <v>12.140532096861358</v>
      </c>
      <c r="F139" s="1149">
        <v>13.250214387880046</v>
      </c>
      <c r="G139" s="1149">
        <v>15.880478838185146</v>
      </c>
      <c r="H139" s="1149">
        <v>22.09923196468262</v>
      </c>
      <c r="I139" s="1149">
        <v>26.487184349354546</v>
      </c>
      <c r="J139" s="1149">
        <v>26.354586768392895</v>
      </c>
      <c r="K139" s="1149">
        <v>34.423882184630209</v>
      </c>
      <c r="L139" s="1149">
        <v>35.699376836285133</v>
      </c>
      <c r="M139" s="1149">
        <v>33.247405164957371</v>
      </c>
      <c r="N139" s="299">
        <v>30.170488714994747</v>
      </c>
      <c r="O139" s="299">
        <v>28.071291183222684</v>
      </c>
      <c r="P139" s="299">
        <v>36.930576982412838</v>
      </c>
      <c r="Q139" s="299">
        <v>53.998102192339722</v>
      </c>
      <c r="R139" s="299">
        <v>59.427741187371417</v>
      </c>
      <c r="S139" s="299">
        <v>50.342996260667036</v>
      </c>
      <c r="T139" s="299">
        <v>44.035922350558678</v>
      </c>
      <c r="U139" s="299">
        <v>50.237290234740463</v>
      </c>
      <c r="V139" s="299">
        <v>36.756226450999129</v>
      </c>
      <c r="W139" s="299">
        <v>38.227728198318061</v>
      </c>
      <c r="X139" s="299">
        <v>34.771941553036079</v>
      </c>
      <c r="Y139" s="299">
        <v>43.823562182120966</v>
      </c>
      <c r="Z139" s="299">
        <v>47.514211620268142</v>
      </c>
      <c r="AA139" s="299">
        <v>45.968440071503643</v>
      </c>
      <c r="AB139" s="299">
        <v>51.194311313503725</v>
      </c>
      <c r="AC139" s="299">
        <v>53.697885323757767</v>
      </c>
      <c r="AD139" s="299">
        <v>50.922090210528424</v>
      </c>
      <c r="AE139" s="299">
        <v>50.382553645273894</v>
      </c>
      <c r="AF139" s="299">
        <v>46.530689909154148</v>
      </c>
    </row>
    <row r="140" spans="1:32">
      <c r="A140" s="21">
        <v>135</v>
      </c>
      <c r="B140" s="21" t="s">
        <v>28</v>
      </c>
      <c r="C140" s="1150">
        <v>22.402063540866084</v>
      </c>
      <c r="D140" s="1150">
        <v>16.094461305007588</v>
      </c>
      <c r="E140" s="1150">
        <v>16.526204145382742</v>
      </c>
      <c r="F140" s="1150">
        <v>19.70797506336314</v>
      </c>
      <c r="G140" s="1150">
        <v>19.347600302169997</v>
      </c>
      <c r="H140" s="1150">
        <v>22.967449464922712</v>
      </c>
      <c r="I140" s="1150">
        <v>13.942706160478377</v>
      </c>
      <c r="J140" s="1150">
        <v>10.968433734267762</v>
      </c>
      <c r="K140" s="1150">
        <v>18.837631194732243</v>
      </c>
      <c r="L140" s="1150">
        <v>12.388404375155194</v>
      </c>
      <c r="M140" s="1150">
        <v>15.763554199010194</v>
      </c>
      <c r="N140" s="300">
        <v>12.648014218298609</v>
      </c>
      <c r="O140" s="300">
        <v>12.764757718972364</v>
      </c>
      <c r="P140" s="300">
        <v>12.191429878148217</v>
      </c>
      <c r="Q140" s="300">
        <v>12.247832272867615</v>
      </c>
      <c r="R140" s="300">
        <v>12.594796608952766</v>
      </c>
      <c r="S140" s="300">
        <v>13.298722223315252</v>
      </c>
      <c r="T140" s="300">
        <v>14.35928950038006</v>
      </c>
      <c r="U140" s="300">
        <v>13.135964308915989</v>
      </c>
      <c r="V140" s="300">
        <v>15.033003344133469</v>
      </c>
      <c r="W140" s="300">
        <v>16.001305762421818</v>
      </c>
      <c r="X140" s="300">
        <v>15.654602511538274</v>
      </c>
      <c r="Y140" s="300">
        <v>16.073887822850537</v>
      </c>
      <c r="Z140" s="300">
        <v>17.72263006519638</v>
      </c>
      <c r="AA140" s="300">
        <v>21.454672541394761</v>
      </c>
      <c r="AB140" s="300">
        <v>25.089325679263041</v>
      </c>
      <c r="AC140" s="300">
        <v>28.530113094726822</v>
      </c>
      <c r="AD140" s="300">
        <v>28.817521573201411</v>
      </c>
      <c r="AE140" s="300">
        <v>27.079210303028045</v>
      </c>
      <c r="AF140" s="300">
        <v>23.553269765955569</v>
      </c>
    </row>
    <row r="141" spans="1:32">
      <c r="A141" s="21">
        <v>840</v>
      </c>
      <c r="B141" s="21" t="s">
        <v>175</v>
      </c>
      <c r="C141" s="1151">
        <v>23.572609528654475</v>
      </c>
      <c r="D141" s="1151">
        <v>23.833790252702453</v>
      </c>
      <c r="E141" s="1151">
        <v>20.334387424056601</v>
      </c>
      <c r="F141" s="1151">
        <v>21.339720437740635</v>
      </c>
      <c r="G141" s="1151">
        <v>24.02413052141069</v>
      </c>
      <c r="H141" s="1151">
        <v>24.015576612698752</v>
      </c>
      <c r="I141" s="1151">
        <v>26.328202113035754</v>
      </c>
      <c r="J141" s="1151">
        <v>26.642148678020515</v>
      </c>
      <c r="K141" s="1151">
        <v>28.392781619205635</v>
      </c>
      <c r="L141" s="1151">
        <v>28.112019744036377</v>
      </c>
      <c r="M141" s="1151">
        <v>27.516229019240889</v>
      </c>
      <c r="N141" s="301">
        <v>29.597255152398493</v>
      </c>
      <c r="O141" s="301">
        <v>29.129767919861433</v>
      </c>
      <c r="P141" s="301">
        <v>31.359612386119096</v>
      </c>
      <c r="Q141" s="301">
        <v>33.825694121205103</v>
      </c>
      <c r="R141" s="301">
        <v>36.357283057119517</v>
      </c>
      <c r="S141" s="301">
        <v>40.506657237230435</v>
      </c>
      <c r="T141" s="301">
        <v>48.956482000772226</v>
      </c>
      <c r="U141" s="301">
        <v>52.151171080576042</v>
      </c>
      <c r="V141" s="301">
        <v>51.46821950986007</v>
      </c>
      <c r="W141" s="301">
        <v>55.401706308739875</v>
      </c>
      <c r="X141" s="301">
        <v>49.159982971102089</v>
      </c>
      <c r="Y141" s="301">
        <v>50.237040953895587</v>
      </c>
      <c r="Z141" s="301">
        <v>49.625625781466653</v>
      </c>
      <c r="AA141" s="301">
        <v>50.927609547179401</v>
      </c>
      <c r="AB141" s="301">
        <v>47.570176485288265</v>
      </c>
      <c r="AC141" s="301">
        <v>47.269513244361775</v>
      </c>
      <c r="AD141" s="301">
        <v>42.54942667643278</v>
      </c>
      <c r="AE141" s="301">
        <v>36.930396829176523</v>
      </c>
      <c r="AF141" s="301">
        <v>31.662968846777538</v>
      </c>
    </row>
    <row r="142" spans="1:32">
      <c r="A142" s="21">
        <v>910</v>
      </c>
      <c r="B142" s="21" t="s">
        <v>178</v>
      </c>
      <c r="C142" s="1148">
        <v>43.182484270147825</v>
      </c>
      <c r="D142" s="1148">
        <v>38.24054056626219</v>
      </c>
      <c r="E142" s="1148">
        <v>36.833983077978502</v>
      </c>
      <c r="F142" s="1148">
        <v>36.196034706311835</v>
      </c>
      <c r="G142" s="1148">
        <v>39.442815805680645</v>
      </c>
      <c r="H142" s="1148">
        <v>42.114596244791372</v>
      </c>
      <c r="I142" s="1148">
        <v>43.579672746355584</v>
      </c>
      <c r="J142" s="1148">
        <v>43.166450949087093</v>
      </c>
      <c r="K142" s="1148">
        <v>43.251002991713854</v>
      </c>
      <c r="L142" s="1148">
        <v>40.647470203894017</v>
      </c>
      <c r="M142" s="1148">
        <v>40.624795787009951</v>
      </c>
      <c r="N142" s="298">
        <v>42.264811182604838</v>
      </c>
      <c r="O142" s="298">
        <v>47.849870518588681</v>
      </c>
      <c r="P142" s="298">
        <v>52.643259107065809</v>
      </c>
      <c r="Q142" s="298">
        <v>53.534608116554793</v>
      </c>
      <c r="R142" s="298">
        <v>61.038986496739312</v>
      </c>
      <c r="S142" s="298">
        <v>59.404507808578884</v>
      </c>
      <c r="T142" s="298">
        <v>49.157522542399988</v>
      </c>
      <c r="U142" s="298">
        <v>54.041490288204677</v>
      </c>
      <c r="V142" s="298">
        <v>63.118363910343177</v>
      </c>
      <c r="W142" s="298">
        <v>66.178359570710342</v>
      </c>
      <c r="X142" s="298">
        <v>65.329967771988194</v>
      </c>
      <c r="Y142" s="298">
        <v>60.915810687431915</v>
      </c>
      <c r="Z142" s="298">
        <v>69.417966415618224</v>
      </c>
      <c r="AA142" s="298">
        <v>72.164049456571661</v>
      </c>
      <c r="AB142" s="298">
        <v>73.630260147412017</v>
      </c>
      <c r="AC142" s="298">
        <v>82.082650157345554</v>
      </c>
      <c r="AD142" s="298">
        <v>80.948082244928869</v>
      </c>
      <c r="AE142" s="298">
        <v>74.569891843198974</v>
      </c>
      <c r="AF142" s="298">
        <v>57.930776889484612</v>
      </c>
    </row>
    <row r="143" spans="1:32">
      <c r="A143" s="21">
        <v>290</v>
      </c>
      <c r="B143" s="21" t="s">
        <v>48</v>
      </c>
      <c r="C143" s="1152"/>
      <c r="D143" s="1152"/>
      <c r="E143" s="1152"/>
      <c r="F143" s="1152"/>
      <c r="G143" s="1152"/>
      <c r="H143" s="1152"/>
      <c r="I143" s="1152"/>
      <c r="J143" s="1152"/>
      <c r="K143" s="1152"/>
      <c r="L143" s="1152"/>
      <c r="M143" s="1152">
        <v>28.648458006076837</v>
      </c>
      <c r="N143" s="302">
        <v>23.522525467177708</v>
      </c>
      <c r="O143" s="302">
        <v>23.700062360801784</v>
      </c>
      <c r="P143" s="302">
        <v>22.937859711866412</v>
      </c>
      <c r="Q143" s="302">
        <v>23.769086209181708</v>
      </c>
      <c r="R143" s="302">
        <v>23.199531228547137</v>
      </c>
      <c r="S143" s="302">
        <v>22.308644295772282</v>
      </c>
      <c r="T143" s="302">
        <v>23.408159685435155</v>
      </c>
      <c r="U143" s="302">
        <v>25.981295782223356</v>
      </c>
      <c r="V143" s="302">
        <v>24.169007049739587</v>
      </c>
      <c r="W143" s="302">
        <v>27.124364234300312</v>
      </c>
      <c r="X143" s="302">
        <v>27.05604082693424</v>
      </c>
      <c r="Y143" s="302">
        <v>28.634823784558183</v>
      </c>
      <c r="Z143" s="302">
        <v>33.313827260002363</v>
      </c>
      <c r="AA143" s="302">
        <v>37.492342117832742</v>
      </c>
      <c r="AB143" s="302">
        <v>37.084994106085176</v>
      </c>
      <c r="AC143" s="302">
        <v>40.355059293526594</v>
      </c>
      <c r="AD143" s="302">
        <v>40.757299402661616</v>
      </c>
      <c r="AE143" s="302">
        <v>39.98054583231265</v>
      </c>
      <c r="AF143" s="302">
        <v>38.878244625006921</v>
      </c>
    </row>
    <row r="144" spans="1:32">
      <c r="A144" s="21">
        <v>235</v>
      </c>
      <c r="B144" s="21" t="s">
        <v>46</v>
      </c>
      <c r="C144" s="1153">
        <v>21.798625576141845</v>
      </c>
      <c r="D144" s="1153">
        <v>20.656020909953156</v>
      </c>
      <c r="E144" s="1153">
        <v>21.014660278974116</v>
      </c>
      <c r="F144" s="1153">
        <v>24.944310955001463</v>
      </c>
      <c r="G144" s="1153">
        <v>29.646531648233033</v>
      </c>
      <c r="H144" s="1153">
        <v>29.710301029242043</v>
      </c>
      <c r="I144" s="1153">
        <v>26.410899120150212</v>
      </c>
      <c r="J144" s="1153">
        <v>27.776083752516072</v>
      </c>
      <c r="K144" s="1153">
        <v>28.078960108466099</v>
      </c>
      <c r="L144" s="1153">
        <v>29.936742621978624</v>
      </c>
      <c r="M144" s="1153">
        <v>29.635993323652691</v>
      </c>
      <c r="N144" s="303">
        <v>26.972418705236713</v>
      </c>
      <c r="O144" s="303">
        <v>24.850100206651138</v>
      </c>
      <c r="P144" s="303">
        <v>23.977837566136547</v>
      </c>
      <c r="Q144" s="303">
        <v>25.535796130237621</v>
      </c>
      <c r="R144" s="303">
        <v>27.198146902957433</v>
      </c>
      <c r="S144" s="303">
        <v>27.247456137712327</v>
      </c>
      <c r="T144" s="303">
        <v>27.800862735700051</v>
      </c>
      <c r="U144" s="303">
        <v>27.996231747954891</v>
      </c>
      <c r="V144" s="303">
        <v>27.150126721297624</v>
      </c>
      <c r="W144" s="303">
        <v>29.005187882605359</v>
      </c>
      <c r="X144" s="303">
        <v>28.145175034125636</v>
      </c>
      <c r="Y144" s="303">
        <v>27.684472891781191</v>
      </c>
      <c r="Z144" s="303">
        <v>27.711089932202633</v>
      </c>
      <c r="AA144" s="303">
        <v>28.136394239232832</v>
      </c>
      <c r="AB144" s="303">
        <v>27.755945058983855</v>
      </c>
      <c r="AC144" s="303">
        <v>31.017425859453816</v>
      </c>
      <c r="AD144" s="303">
        <v>32.306852083419756</v>
      </c>
      <c r="AE144" s="303">
        <v>32.488464117924551</v>
      </c>
      <c r="AF144" s="303">
        <v>27.962000208790062</v>
      </c>
    </row>
    <row r="145" spans="1:32">
      <c r="A145" s="21">
        <v>731</v>
      </c>
      <c r="B145" s="21" t="s">
        <v>157</v>
      </c>
    </row>
    <row r="146" spans="1:32">
      <c r="A146" s="21">
        <v>694</v>
      </c>
      <c r="B146" s="21" t="s">
        <v>145</v>
      </c>
      <c r="N146" s="304"/>
      <c r="O146" s="304"/>
      <c r="P146" s="304"/>
      <c r="Q146" s="304">
        <v>44.875758129246698</v>
      </c>
      <c r="R146" s="304">
        <v>44.338668213694163</v>
      </c>
      <c r="S146" s="304">
        <v>43.725742260285053</v>
      </c>
      <c r="T146" s="304">
        <v>48.280809560351315</v>
      </c>
      <c r="U146" s="304">
        <v>51.095630910698866</v>
      </c>
      <c r="V146" s="304">
        <v>60.040788277803635</v>
      </c>
      <c r="W146" s="304">
        <v>67.28335859913993</v>
      </c>
      <c r="X146" s="304">
        <v>65.892857142857139</v>
      </c>
      <c r="Y146" s="304">
        <v>60.342772827875834</v>
      </c>
      <c r="Z146" s="304">
        <v>61.697582386794771</v>
      </c>
      <c r="AA146" s="304">
        <v>64.287325018647337</v>
      </c>
      <c r="AB146" s="304">
        <v>67.338797186370996</v>
      </c>
      <c r="AC146" s="304">
        <v>63.21659521906561</v>
      </c>
      <c r="AD146" s="304">
        <v>56.483960630483821</v>
      </c>
      <c r="AE146" s="304">
        <v>52.692726672671732</v>
      </c>
      <c r="AF146" s="304">
        <v>46.746772480858432</v>
      </c>
    </row>
    <row r="147" spans="1:32">
      <c r="A147" s="21">
        <v>732</v>
      </c>
      <c r="B147" s="21" t="s">
        <v>158</v>
      </c>
      <c r="C147" s="1110">
        <v>32.064557226453196</v>
      </c>
      <c r="D147" s="1110">
        <v>34.268491371960053</v>
      </c>
      <c r="E147" s="1110">
        <v>33.226253373916038</v>
      </c>
      <c r="F147" s="1110">
        <v>32.97253928135072</v>
      </c>
      <c r="G147" s="1110">
        <v>33.368518572748258</v>
      </c>
      <c r="H147" s="1110">
        <v>31.972101245403639</v>
      </c>
      <c r="I147" s="1110">
        <v>35.642944726496609</v>
      </c>
      <c r="J147" s="1110">
        <v>38.271375529243414</v>
      </c>
      <c r="K147" s="1110">
        <v>36.421671413411708</v>
      </c>
      <c r="L147" s="1110">
        <v>30.79542627468846</v>
      </c>
      <c r="M147" s="1110">
        <v>27.953868107051871</v>
      </c>
      <c r="N147" s="258">
        <v>26.333064168224507</v>
      </c>
      <c r="O147" s="258">
        <v>26.59030915008772</v>
      </c>
      <c r="P147" s="258">
        <v>26.528517195291656</v>
      </c>
      <c r="Q147" s="258">
        <v>26.637717726968368</v>
      </c>
      <c r="R147" s="258">
        <v>28.828292811837997</v>
      </c>
      <c r="S147" s="258">
        <v>27.86197125077241</v>
      </c>
      <c r="T147" s="258">
        <v>32.392532559289222</v>
      </c>
      <c r="U147" s="258">
        <v>46.164058542937575</v>
      </c>
      <c r="V147" s="258">
        <v>39.063617800655564</v>
      </c>
      <c r="W147" s="258">
        <v>38.564177204278259</v>
      </c>
      <c r="X147" s="258">
        <v>35.740645904486108</v>
      </c>
      <c r="Y147" s="258">
        <v>33.125803478479789</v>
      </c>
      <c r="Z147" s="258">
        <v>35.368994192125626</v>
      </c>
      <c r="AA147" s="258">
        <v>40.883067416123033</v>
      </c>
      <c r="AB147" s="258">
        <v>39.267297866455955</v>
      </c>
      <c r="AC147" s="258">
        <v>39.68394612430918</v>
      </c>
      <c r="AD147" s="258">
        <v>41.922948719658102</v>
      </c>
      <c r="AE147" s="258">
        <v>53.008889457839125</v>
      </c>
      <c r="AF147" s="258">
        <v>49.90038653542404</v>
      </c>
    </row>
    <row r="148" spans="1:32">
      <c r="A148" s="21">
        <v>360</v>
      </c>
      <c r="B148" s="21" t="s">
        <v>66</v>
      </c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>
        <v>16.726891246065975</v>
      </c>
      <c r="N148" s="305">
        <v>17.600617087889649</v>
      </c>
      <c r="O148" s="305">
        <v>27.79141511311617</v>
      </c>
      <c r="P148" s="305">
        <v>23.016299655356118</v>
      </c>
      <c r="Q148" s="305">
        <v>24.901353498205182</v>
      </c>
      <c r="R148" s="305">
        <v>27.616498089107328</v>
      </c>
      <c r="S148" s="305">
        <v>28.141031788114333</v>
      </c>
      <c r="T148" s="305">
        <v>29.176829376914188</v>
      </c>
      <c r="U148" s="305">
        <v>22.621645657670911</v>
      </c>
      <c r="V148" s="305">
        <v>28.018002188765688</v>
      </c>
      <c r="W148" s="305">
        <v>32.691331496107004</v>
      </c>
      <c r="X148" s="305">
        <v>33.39410332053896</v>
      </c>
      <c r="Y148" s="305">
        <v>35.402435884203726</v>
      </c>
      <c r="Z148" s="305">
        <v>34.69487614746636</v>
      </c>
      <c r="AA148" s="305">
        <v>35.927033690948193</v>
      </c>
      <c r="AB148" s="305">
        <v>32.922762398660169</v>
      </c>
      <c r="AC148" s="305">
        <v>29.554871472299084</v>
      </c>
      <c r="AD148" s="305">
        <v>30.724134881765856</v>
      </c>
      <c r="AE148" s="305">
        <v>30.983964965403938</v>
      </c>
      <c r="AF148" s="305">
        <v>33.323396659569973</v>
      </c>
    </row>
    <row r="149" spans="1:32">
      <c r="A149" s="21">
        <v>365</v>
      </c>
      <c r="B149" s="21" t="s">
        <v>67</v>
      </c>
      <c r="C149" s="1155"/>
      <c r="D149" s="1155"/>
      <c r="E149" s="1155"/>
      <c r="F149" s="1155"/>
      <c r="G149" s="1155"/>
      <c r="H149" s="1155"/>
      <c r="I149" s="1155"/>
      <c r="J149" s="1155"/>
      <c r="K149" s="1155"/>
      <c r="L149" s="1155">
        <v>21.902268780867974</v>
      </c>
      <c r="M149" s="1155">
        <v>18.162062027941634</v>
      </c>
      <c r="N149" s="306">
        <v>13.271362173757598</v>
      </c>
      <c r="O149" s="306">
        <v>62.322461862177803</v>
      </c>
      <c r="P149" s="306">
        <v>38.204594484286631</v>
      </c>
      <c r="Q149" s="306">
        <v>27.75837904216128</v>
      </c>
      <c r="R149" s="306">
        <v>29.28946447322366</v>
      </c>
      <c r="S149" s="306">
        <v>26.073314075107085</v>
      </c>
      <c r="T149" s="306">
        <v>24.729989327641409</v>
      </c>
      <c r="U149" s="306">
        <v>31.221478551871009</v>
      </c>
      <c r="V149" s="306">
        <v>43.220268701277156</v>
      </c>
      <c r="W149" s="306">
        <v>44.060720543144981</v>
      </c>
      <c r="X149" s="306">
        <v>36.893420993783266</v>
      </c>
      <c r="Y149" s="306">
        <v>35.24933156688175</v>
      </c>
      <c r="Z149" s="306">
        <v>35.249981774867997</v>
      </c>
      <c r="AA149" s="306">
        <v>34.417891054845171</v>
      </c>
      <c r="AB149" s="306">
        <v>35.20306596458547</v>
      </c>
      <c r="AC149" s="306">
        <v>33.73047544385124</v>
      </c>
      <c r="AD149" s="306">
        <v>30.164060484698396</v>
      </c>
      <c r="AE149" s="306">
        <v>31.192007860252975</v>
      </c>
      <c r="AF149" s="306">
        <v>27.733552292591117</v>
      </c>
    </row>
    <row r="150" spans="1:32">
      <c r="A150" s="21">
        <v>517</v>
      </c>
      <c r="B150" s="21" t="s">
        <v>109</v>
      </c>
      <c r="C150" s="1156">
        <v>14.43652159592207</v>
      </c>
      <c r="D150" s="1156">
        <v>9.8255055223525574</v>
      </c>
      <c r="E150" s="1156">
        <v>11.552558775494987</v>
      </c>
      <c r="F150" s="1156">
        <v>11.581767524400451</v>
      </c>
      <c r="G150" s="1156">
        <v>12.631433634715613</v>
      </c>
      <c r="H150" s="1156">
        <v>10.782506669222235</v>
      </c>
      <c r="I150" s="1156">
        <v>12.584317887646106</v>
      </c>
      <c r="J150" s="1156">
        <v>7.4500525311378283</v>
      </c>
      <c r="K150" s="1156">
        <v>6.6195598328694194</v>
      </c>
      <c r="L150" s="1156">
        <v>6.1392889572187945</v>
      </c>
      <c r="M150" s="1156">
        <v>5.6146091778679637</v>
      </c>
      <c r="N150" s="307">
        <v>7.3166044396431653</v>
      </c>
      <c r="O150" s="307">
        <v>5.5684081972993784</v>
      </c>
      <c r="P150" s="307">
        <v>5.1752459642515403</v>
      </c>
      <c r="Q150" s="307">
        <v>6.302585919898843</v>
      </c>
      <c r="R150" s="307">
        <v>5.1507919192965419</v>
      </c>
      <c r="S150" s="307">
        <v>6.031370025354315</v>
      </c>
      <c r="T150" s="307">
        <v>7.7973393710656982</v>
      </c>
      <c r="U150" s="307">
        <v>5.5850635729765958</v>
      </c>
      <c r="V150" s="307">
        <v>5.9233990959507414</v>
      </c>
      <c r="W150" s="307">
        <v>8.7056729172546117</v>
      </c>
      <c r="X150" s="307">
        <v>9.3773517654485765</v>
      </c>
      <c r="Y150" s="307">
        <v>8.0865461181456322</v>
      </c>
      <c r="Z150" s="307">
        <v>7.5555004643449362</v>
      </c>
      <c r="AA150" s="307">
        <v>11.123462368263311</v>
      </c>
      <c r="AB150" s="307">
        <v>11.426597427675171</v>
      </c>
      <c r="AC150" s="307">
        <v>11.057417188689373</v>
      </c>
      <c r="AD150" s="307">
        <v>10.966847581672013</v>
      </c>
      <c r="AE150" s="307">
        <v>14.499697671728715</v>
      </c>
      <c r="AF150" s="307">
        <v>11.698105386095344</v>
      </c>
    </row>
    <row r="151" spans="1:32">
      <c r="A151" s="21">
        <v>560</v>
      </c>
      <c r="B151" s="21" t="s">
        <v>119</v>
      </c>
      <c r="C151" s="1165">
        <v>35.380201595291815</v>
      </c>
      <c r="D151" s="1165">
        <v>28.354944065191429</v>
      </c>
      <c r="E151" s="1165">
        <v>26.454608519115823</v>
      </c>
      <c r="F151" s="1165">
        <v>24.728140210225735</v>
      </c>
      <c r="G151" s="1165">
        <v>25.473849107450221</v>
      </c>
      <c r="H151" s="1165">
        <v>31.41506881644548</v>
      </c>
      <c r="I151" s="1165">
        <v>30.571305851817222</v>
      </c>
      <c r="J151" s="1165">
        <v>30.263904194591788</v>
      </c>
      <c r="K151" s="1165">
        <v>29.09838599467459</v>
      </c>
      <c r="L151" s="1165">
        <v>26.694639518929787</v>
      </c>
      <c r="M151" s="1165">
        <v>24.237103427877404</v>
      </c>
      <c r="N151" s="318">
        <v>21.750405627117587</v>
      </c>
      <c r="O151" s="318">
        <v>21.343272702815621</v>
      </c>
      <c r="P151" s="318">
        <v>22.478193588750152</v>
      </c>
      <c r="Q151" s="318">
        <v>22.102796242948902</v>
      </c>
      <c r="R151" s="318">
        <v>22.772486000663012</v>
      </c>
      <c r="S151" s="318">
        <v>24.729346935009538</v>
      </c>
      <c r="T151" s="318">
        <v>24.595540516479858</v>
      </c>
      <c r="U151" s="318">
        <v>25.652862768748282</v>
      </c>
      <c r="V151" s="318">
        <v>25.334681962532144</v>
      </c>
      <c r="W151" s="318">
        <v>27.870906203187833</v>
      </c>
      <c r="X151" s="318">
        <v>30.127536675492124</v>
      </c>
      <c r="Y151" s="318">
        <v>32.923285409952811</v>
      </c>
      <c r="Z151" s="318">
        <v>27.880132365502931</v>
      </c>
      <c r="AA151" s="318">
        <v>26.422464075835546</v>
      </c>
      <c r="AB151" s="318">
        <v>27.3804295383691</v>
      </c>
      <c r="AC151" s="318">
        <v>30.006020067646549</v>
      </c>
      <c r="AD151" s="318">
        <v>31.277644858812298</v>
      </c>
      <c r="AE151" s="318">
        <v>35.451302487101671</v>
      </c>
      <c r="AF151" s="318">
        <v>27.292270721010897</v>
      </c>
    </row>
    <row r="152" spans="1:32">
      <c r="A152" s="21">
        <v>92</v>
      </c>
      <c r="B152" s="21" t="s">
        <v>19</v>
      </c>
      <c r="C152" s="1079">
        <v>34.16154775526595</v>
      </c>
      <c r="D152" s="1079">
        <v>26.678690195269034</v>
      </c>
      <c r="E152" s="1079">
        <v>22.777404028282909</v>
      </c>
      <c r="F152" s="1079">
        <v>24.488517786381159</v>
      </c>
      <c r="G152" s="1079">
        <v>21.754139853914168</v>
      </c>
      <c r="H152" s="1079">
        <v>22.323765451157897</v>
      </c>
      <c r="I152" s="1079">
        <v>24.668163393712259</v>
      </c>
      <c r="J152" s="1079">
        <v>18.99230416501997</v>
      </c>
      <c r="K152" s="1079">
        <v>15.810681842245017</v>
      </c>
      <c r="L152" s="1079">
        <v>13.237788307849296</v>
      </c>
      <c r="M152" s="1079">
        <v>18.555974884136496</v>
      </c>
      <c r="N152" s="223">
        <v>17.214083619332804</v>
      </c>
      <c r="O152" s="223">
        <v>16.08969394429441</v>
      </c>
      <c r="P152" s="223">
        <v>19.355207461833484</v>
      </c>
      <c r="Q152" s="223">
        <v>19.965907452585633</v>
      </c>
      <c r="R152" s="223">
        <v>21.637497248262644</v>
      </c>
      <c r="S152" s="223">
        <v>21.075879948150362</v>
      </c>
      <c r="T152" s="223">
        <v>25.894111436390197</v>
      </c>
      <c r="U152" s="223">
        <v>24.789732505651109</v>
      </c>
      <c r="V152" s="223">
        <v>24.936430042115983</v>
      </c>
      <c r="W152" s="223">
        <v>27.400331285811376</v>
      </c>
      <c r="X152" s="223">
        <v>25.831217756497033</v>
      </c>
      <c r="Y152" s="223">
        <v>26.366667365639874</v>
      </c>
      <c r="Z152" s="223">
        <v>27.06772913662132</v>
      </c>
      <c r="AA152" s="223">
        <v>27.832741497502894</v>
      </c>
      <c r="AB152" s="223">
        <v>26.522829258005174</v>
      </c>
      <c r="AC152" s="223">
        <v>27.181348372432129</v>
      </c>
      <c r="AD152" s="223">
        <v>25.366227112339097</v>
      </c>
      <c r="AE152" s="223">
        <v>25.565436879150305</v>
      </c>
      <c r="AF152" s="223">
        <v>22.255870713964125</v>
      </c>
    </row>
    <row r="153" spans="1:32">
      <c r="A153" s="21">
        <v>670</v>
      </c>
      <c r="B153" s="21" t="s">
        <v>141</v>
      </c>
      <c r="C153" s="1157">
        <v>63.546004053706518</v>
      </c>
      <c r="D153" s="1157">
        <v>62.939045383765993</v>
      </c>
      <c r="E153" s="1157">
        <v>50.841764848811579</v>
      </c>
      <c r="F153" s="1157">
        <v>38.561803424237958</v>
      </c>
      <c r="G153" s="1157">
        <v>34.617936475495767</v>
      </c>
      <c r="H153" s="1157">
        <v>30.071110472945968</v>
      </c>
      <c r="I153" s="1157">
        <v>26.702998217918285</v>
      </c>
      <c r="J153" s="1157">
        <v>30.861773342289805</v>
      </c>
      <c r="K153" s="1157">
        <v>31.323768997780132</v>
      </c>
      <c r="L153" s="1157">
        <v>33.745676122597558</v>
      </c>
      <c r="M153" s="1157">
        <v>40.629129632578135</v>
      </c>
      <c r="N153" s="309">
        <v>38.567215330520746</v>
      </c>
      <c r="O153" s="309">
        <v>39.331660115963743</v>
      </c>
      <c r="P153" s="309">
        <v>34.565079975896758</v>
      </c>
      <c r="Q153" s="309">
        <v>34.215542970892429</v>
      </c>
      <c r="R153" s="309">
        <v>37.56991631477927</v>
      </c>
      <c r="S153" s="309">
        <v>40.256083830452717</v>
      </c>
      <c r="T153" s="309">
        <v>39.388770311428111</v>
      </c>
      <c r="U153" s="309">
        <v>29.836201959996938</v>
      </c>
      <c r="V153" s="309">
        <v>34.830158662771929</v>
      </c>
      <c r="W153" s="309">
        <v>43.652437740720579</v>
      </c>
      <c r="X153" s="309">
        <v>39.877398361313539</v>
      </c>
      <c r="Y153" s="309">
        <v>41.17785026322214</v>
      </c>
      <c r="Z153" s="309">
        <v>46.118054105646195</v>
      </c>
      <c r="AA153" s="309">
        <v>52.667796512674549</v>
      </c>
      <c r="AB153" s="309">
        <v>60.878808635867777</v>
      </c>
      <c r="AC153" s="309">
        <v>63.232555719196363</v>
      </c>
      <c r="AD153" s="309">
        <v>64.767720432671652</v>
      </c>
      <c r="AE153" s="309">
        <v>67.782926674963875</v>
      </c>
      <c r="AF153" s="309">
        <v>53.747079745998228</v>
      </c>
    </row>
    <row r="154" spans="1:32">
      <c r="A154" s="21">
        <v>433</v>
      </c>
      <c r="B154" s="21" t="s">
        <v>87</v>
      </c>
      <c r="C154" s="1158">
        <v>23.898497930070796</v>
      </c>
      <c r="D154" s="1158">
        <v>31.718011178190213</v>
      </c>
      <c r="E154" s="1158">
        <v>29.180133860960083</v>
      </c>
      <c r="F154" s="1158">
        <v>35.182230349932134</v>
      </c>
      <c r="G154" s="1158">
        <v>33.981249250425272</v>
      </c>
      <c r="H154" s="1158">
        <v>27.831989151343393</v>
      </c>
      <c r="I154" s="1158">
        <v>24.559375406515141</v>
      </c>
      <c r="J154" s="1158">
        <v>21.248024863804446</v>
      </c>
      <c r="K154" s="1158">
        <v>22.291607292948299</v>
      </c>
      <c r="L154" s="1158">
        <v>24.462955958096124</v>
      </c>
      <c r="M154" s="1158">
        <v>25.410535806940509</v>
      </c>
      <c r="N154" s="310">
        <v>23.092635579152525</v>
      </c>
      <c r="O154" s="310">
        <v>22.348830172857838</v>
      </c>
      <c r="P154" s="310">
        <v>20.264304476845712</v>
      </c>
      <c r="Q154" s="310">
        <v>31.753739173467327</v>
      </c>
      <c r="R154" s="310">
        <v>30.86634170362596</v>
      </c>
      <c r="S154" s="310">
        <v>26.984015795436882</v>
      </c>
      <c r="T154" s="310">
        <v>27.314889478218412</v>
      </c>
      <c r="U154" s="310">
        <v>27.696563964250903</v>
      </c>
      <c r="V154" s="310">
        <v>28.056468217878926</v>
      </c>
      <c r="W154" s="310">
        <v>27.925116333344484</v>
      </c>
      <c r="X154" s="310">
        <v>28.72629254496276</v>
      </c>
      <c r="Y154" s="310">
        <v>28.548870989729874</v>
      </c>
      <c r="Z154" s="310">
        <v>26.626755166726685</v>
      </c>
      <c r="AA154" s="310">
        <v>26.441261364183333</v>
      </c>
      <c r="AB154" s="310">
        <v>26.934962470988964</v>
      </c>
      <c r="AC154" s="310">
        <v>25.596660635029629</v>
      </c>
      <c r="AD154" s="310">
        <v>25.366903230572991</v>
      </c>
      <c r="AE154" s="310">
        <v>26.393894263081513</v>
      </c>
      <c r="AF154" s="310">
        <v>24.039926389567277</v>
      </c>
    </row>
    <row r="155" spans="1:32">
      <c r="A155" s="21">
        <v>591</v>
      </c>
      <c r="B155" s="21" t="s">
        <v>127</v>
      </c>
      <c r="C155" s="1159">
        <v>67.958381993842238</v>
      </c>
      <c r="D155" s="1159">
        <v>57.017904918707551</v>
      </c>
      <c r="E155" s="1159">
        <v>52.458169799628173</v>
      </c>
      <c r="F155" s="1159">
        <v>55.624937053076849</v>
      </c>
      <c r="G155" s="1159">
        <v>65.958243610148855</v>
      </c>
      <c r="H155" s="1159">
        <v>68.918582454975521</v>
      </c>
      <c r="I155" s="1159">
        <v>63.026715476283201</v>
      </c>
      <c r="J155" s="1159">
        <v>61.336771975069851</v>
      </c>
      <c r="K155" s="1159">
        <v>64.024869109947645</v>
      </c>
      <c r="L155" s="1159">
        <v>65.117748420448024</v>
      </c>
      <c r="M155" s="1159">
        <v>62.482842763458905</v>
      </c>
      <c r="N155" s="312">
        <v>58.481894853795261</v>
      </c>
      <c r="O155" s="312">
        <v>56.019268863677297</v>
      </c>
      <c r="P155" s="312">
        <v>54.304446978335228</v>
      </c>
      <c r="Q155" s="312">
        <v>52.354232739692605</v>
      </c>
      <c r="R155" s="312">
        <v>54.731013965787959</v>
      </c>
      <c r="S155" s="312">
        <v>66.338692904567637</v>
      </c>
      <c r="T155" s="312">
        <v>65.617048346055981</v>
      </c>
      <c r="U155" s="312">
        <v>60.869021959828814</v>
      </c>
      <c r="V155" s="312">
        <v>67.665174413364184</v>
      </c>
      <c r="W155" s="312">
        <v>78.154586643582391</v>
      </c>
      <c r="X155" s="312">
        <v>81.573549312504042</v>
      </c>
      <c r="Y155" s="312">
        <v>83.97102600183392</v>
      </c>
      <c r="Z155" s="312">
        <v>95.14363172101514</v>
      </c>
      <c r="AA155" s="312">
        <v>97.813626934933097</v>
      </c>
      <c r="AB155" s="312">
        <v>81.139977901880883</v>
      </c>
      <c r="AC155" s="312">
        <v>88.846120228234923</v>
      </c>
      <c r="AD155" s="312">
        <v>96.71400943207415</v>
      </c>
      <c r="AE155" s="312">
        <v>117.78910757670739</v>
      </c>
      <c r="AF155" s="312">
        <v>119.30314042296482</v>
      </c>
    </row>
    <row r="156" spans="1:32">
      <c r="A156" s="21">
        <v>451</v>
      </c>
      <c r="B156" s="21" t="s">
        <v>95</v>
      </c>
      <c r="C156" s="1160">
        <v>22.864560162989246</v>
      </c>
      <c r="D156" s="1160">
        <v>23.01501258591518</v>
      </c>
      <c r="E156" s="1160">
        <v>15.755686815717059</v>
      </c>
      <c r="F156" s="1160">
        <v>11.070838630279216</v>
      </c>
      <c r="G156" s="1160">
        <v>10.624656655061004</v>
      </c>
      <c r="H156" s="1160">
        <v>14.822450665312594</v>
      </c>
      <c r="I156" s="1160">
        <v>11.91683569979716</v>
      </c>
      <c r="J156" s="1160">
        <v>31.964223156180239</v>
      </c>
      <c r="K156" s="1160">
        <v>28.724676558676975</v>
      </c>
      <c r="L156" s="1160">
        <v>23.917641516858438</v>
      </c>
      <c r="M156" s="1160">
        <v>22.447298566869271</v>
      </c>
      <c r="N156" s="313">
        <v>22.741971980361768</v>
      </c>
      <c r="O156" s="313">
        <v>22.459357635398355</v>
      </c>
      <c r="P156" s="313">
        <v>21.488228244526752</v>
      </c>
      <c r="Q156" s="313">
        <v>29.51164239063327</v>
      </c>
      <c r="R156" s="313">
        <v>18.618218038496508</v>
      </c>
      <c r="S156" s="313">
        <v>17.819958896147035</v>
      </c>
      <c r="T156" s="313">
        <v>13.940912664079894</v>
      </c>
      <c r="U156" s="313">
        <v>16.202727436192667</v>
      </c>
      <c r="V156" s="313">
        <v>12.498908271632949</v>
      </c>
      <c r="W156" s="313">
        <v>18.08142113747062</v>
      </c>
      <c r="X156" s="313">
        <v>16.025271911966271</v>
      </c>
      <c r="Y156" s="313">
        <v>17.568127469457888</v>
      </c>
      <c r="Z156" s="313">
        <v>23.224786711940304</v>
      </c>
      <c r="AA156" s="313">
        <v>22.536598649768006</v>
      </c>
      <c r="AB156" s="313">
        <v>23.574096918199576</v>
      </c>
      <c r="AC156" s="313">
        <v>24.94392780058881</v>
      </c>
      <c r="AD156" s="313">
        <v>20.771273363725918</v>
      </c>
      <c r="AE156" s="313">
        <v>16.342524372807819</v>
      </c>
      <c r="AF156" s="313">
        <v>15.681697499772064</v>
      </c>
    </row>
    <row r="157" spans="1:32">
      <c r="A157" s="21">
        <v>830</v>
      </c>
      <c r="B157" s="21" t="s">
        <v>173</v>
      </c>
      <c r="N157" s="314"/>
      <c r="O157" s="314"/>
      <c r="P157" s="314"/>
      <c r="Q157" s="314"/>
      <c r="R157" s="314"/>
      <c r="S157" s="314"/>
      <c r="T157" s="314"/>
      <c r="U157" s="314"/>
      <c r="V157" s="314"/>
      <c r="W157" s="314"/>
      <c r="X157" s="314">
        <v>191.42294911057536</v>
      </c>
      <c r="Y157" s="314">
        <v>192.63440078399142</v>
      </c>
      <c r="Z157" s="314">
        <v>212.4231133992684</v>
      </c>
      <c r="AA157" s="314">
        <v>224.44922180562673</v>
      </c>
      <c r="AB157" s="314">
        <v>228.00679235883581</v>
      </c>
      <c r="AC157" s="314">
        <v>233.54485074335494</v>
      </c>
      <c r="AD157" s="314">
        <v>217.38380516955323</v>
      </c>
      <c r="AE157" s="314">
        <v>220.53186915710182</v>
      </c>
      <c r="AF157" s="314"/>
    </row>
    <row r="158" spans="1:32">
      <c r="A158" s="21">
        <v>60</v>
      </c>
      <c r="B158" s="21" t="s">
        <v>14</v>
      </c>
      <c r="C158" s="1168">
        <v>66.898148148148152</v>
      </c>
      <c r="D158" s="1168">
        <v>60.379829731499669</v>
      </c>
      <c r="E158" s="1168">
        <v>49.814585908529047</v>
      </c>
      <c r="F158" s="1168">
        <v>48.9137181874612</v>
      </c>
      <c r="G158" s="1168">
        <v>55.0502379693284</v>
      </c>
      <c r="H158" s="1168">
        <v>55.365622032288698</v>
      </c>
      <c r="I158" s="1168">
        <v>61.439811172305269</v>
      </c>
      <c r="J158" s="1168">
        <v>63.899349537829508</v>
      </c>
      <c r="K158" s="1168">
        <v>59.327485380116961</v>
      </c>
      <c r="L158" s="1168">
        <v>55.289555325749738</v>
      </c>
      <c r="M158" s="1168">
        <v>51.749368752620043</v>
      </c>
      <c r="N158" s="321">
        <v>58.939891051175472</v>
      </c>
      <c r="O158" s="321">
        <v>61.65792564192688</v>
      </c>
      <c r="P158" s="321">
        <v>58.320776340360524</v>
      </c>
      <c r="Q158" s="321">
        <v>54.646728998337515</v>
      </c>
      <c r="R158" s="321">
        <v>51.154090529695026</v>
      </c>
      <c r="S158" s="321">
        <v>49.683257918552037</v>
      </c>
      <c r="T158" s="321">
        <v>53.180592991913741</v>
      </c>
      <c r="U158" s="321">
        <v>53.767741935483869</v>
      </c>
      <c r="V158" s="321">
        <v>46.991611153845199</v>
      </c>
      <c r="W158" s="321">
        <v>46.026117494629887</v>
      </c>
      <c r="X158" s="321">
        <v>43.920431805644192</v>
      </c>
      <c r="Y158" s="321">
        <v>43.254072236932515</v>
      </c>
      <c r="Z158" s="321">
        <v>44.92801662373418</v>
      </c>
      <c r="AA158" s="321">
        <v>47.501068236441277</v>
      </c>
      <c r="AB158" s="321">
        <v>50.438988974623058</v>
      </c>
      <c r="AC158" s="321">
        <v>47.317280862484509</v>
      </c>
      <c r="AD158" s="321">
        <v>44.029500696383856</v>
      </c>
      <c r="AE158" s="321">
        <v>38.431056659174473</v>
      </c>
      <c r="AF158" s="321">
        <v>35.173177826713427</v>
      </c>
    </row>
    <row r="159" spans="1:32">
      <c r="A159" s="21">
        <v>317</v>
      </c>
      <c r="B159" s="21" t="s">
        <v>52</v>
      </c>
      <c r="C159" s="1161"/>
      <c r="D159" s="1161"/>
      <c r="E159" s="1161"/>
      <c r="F159" s="1161"/>
      <c r="G159" s="1161"/>
      <c r="H159" s="1161"/>
      <c r="I159" s="1161"/>
      <c r="J159" s="1161">
        <v>32.337505377550336</v>
      </c>
      <c r="K159" s="1161">
        <v>32.152588416837517</v>
      </c>
      <c r="L159" s="1161">
        <v>28.843995692963219</v>
      </c>
      <c r="M159" s="1161">
        <v>26.546761525701605</v>
      </c>
      <c r="N159" s="315">
        <v>46.324679930343663</v>
      </c>
      <c r="O159" s="315">
        <v>70.328016852241944</v>
      </c>
      <c r="P159" s="315">
        <v>56.255407467278083</v>
      </c>
      <c r="Q159" s="315">
        <v>58.677604445162601</v>
      </c>
      <c r="R159" s="315">
        <v>57.791628687437857</v>
      </c>
      <c r="S159" s="315">
        <v>53.348067376875449</v>
      </c>
      <c r="T159" s="315">
        <v>56.368115464450021</v>
      </c>
      <c r="U159" s="315">
        <v>59.205094430881644</v>
      </c>
      <c r="V159" s="315">
        <v>61.21042585893283</v>
      </c>
      <c r="W159" s="315">
        <v>70.505685064747453</v>
      </c>
      <c r="X159" s="315">
        <v>72.768351368946156</v>
      </c>
      <c r="Y159" s="315">
        <v>71.169531289720666</v>
      </c>
      <c r="Z159" s="315">
        <v>75.900183699644302</v>
      </c>
      <c r="AA159" s="315">
        <v>74.59913672661213</v>
      </c>
      <c r="AB159" s="315">
        <v>76.304865321604169</v>
      </c>
      <c r="AC159" s="315">
        <v>84.42220750309653</v>
      </c>
      <c r="AD159" s="315">
        <v>86.718620398988932</v>
      </c>
      <c r="AE159" s="315">
        <v>83.031607365789057</v>
      </c>
      <c r="AF159" s="315">
        <v>99.461197220861948</v>
      </c>
    </row>
    <row r="160" spans="1:32">
      <c r="A160" s="21">
        <v>56</v>
      </c>
      <c r="B160" s="21" t="s">
        <v>11</v>
      </c>
      <c r="C160" s="1169">
        <v>66.956304480595193</v>
      </c>
      <c r="D160" s="1169">
        <v>51.766165523281273</v>
      </c>
      <c r="E160" s="1169">
        <v>57.783282840755568</v>
      </c>
      <c r="F160" s="1169">
        <v>63.606290152459486</v>
      </c>
      <c r="G160" s="1169">
        <v>52.642158830382982</v>
      </c>
      <c r="H160" s="1169">
        <v>61.399900181305135</v>
      </c>
      <c r="I160" s="1169">
        <v>74.055118110236222</v>
      </c>
      <c r="J160" s="1169">
        <v>74.552288979891202</v>
      </c>
      <c r="K160" s="1169">
        <v>87.379350047125754</v>
      </c>
      <c r="L160" s="1169">
        <v>80.189759832596181</v>
      </c>
      <c r="M160" s="1169">
        <v>72.559263648473944</v>
      </c>
      <c r="N160" s="322">
        <v>69.923691355810931</v>
      </c>
      <c r="O160" s="322">
        <v>67.741110694777831</v>
      </c>
      <c r="P160" s="322">
        <v>67.658528242803811</v>
      </c>
      <c r="Q160" s="322">
        <v>65.692019599498849</v>
      </c>
      <c r="R160" s="322">
        <v>67.545026213461483</v>
      </c>
      <c r="S160" s="322">
        <v>62.346324875752025</v>
      </c>
      <c r="T160" s="322">
        <v>59.342121746265356</v>
      </c>
      <c r="U160" s="322">
        <v>58.42857594893843</v>
      </c>
      <c r="V160" s="322">
        <v>55.161864828294391</v>
      </c>
      <c r="W160" s="322">
        <v>53.26646753668409</v>
      </c>
      <c r="X160" s="322">
        <v>46.261246448844496</v>
      </c>
      <c r="Y160" s="322">
        <v>44.241427678341587</v>
      </c>
      <c r="Z160" s="322">
        <v>51.52921462186054</v>
      </c>
      <c r="AA160" s="322">
        <v>56.016385997757126</v>
      </c>
      <c r="AB160" s="322">
        <v>55.23902017913025</v>
      </c>
      <c r="AC160" s="322">
        <v>43.668531259083593</v>
      </c>
      <c r="AD160" s="322">
        <v>45.101024360978371</v>
      </c>
      <c r="AE160" s="322">
        <v>50.897359064227658</v>
      </c>
      <c r="AF160" s="322">
        <v>48.991083630610909</v>
      </c>
    </row>
    <row r="161" spans="1:32">
      <c r="A161" s="21">
        <v>349</v>
      </c>
      <c r="B161" s="21" t="s">
        <v>61</v>
      </c>
      <c r="C161" s="1162"/>
      <c r="D161" s="1162"/>
      <c r="E161" s="1162"/>
      <c r="F161" s="1162"/>
      <c r="G161" s="1162"/>
      <c r="H161" s="1162"/>
      <c r="I161" s="1162"/>
      <c r="J161" s="1162"/>
      <c r="K161" s="1162"/>
      <c r="L161" s="1162"/>
      <c r="M161" s="1162">
        <v>90.759392021538559</v>
      </c>
      <c r="N161" s="316">
        <v>83.534723113594083</v>
      </c>
      <c r="O161" s="316">
        <v>63.143334400053462</v>
      </c>
      <c r="P161" s="316">
        <v>58.752068221384476</v>
      </c>
      <c r="Q161" s="316">
        <v>58.89372707480689</v>
      </c>
      <c r="R161" s="316">
        <v>49.894377473724319</v>
      </c>
      <c r="S161" s="316">
        <v>50.243843221812881</v>
      </c>
      <c r="T161" s="316">
        <v>51.676200330363883</v>
      </c>
      <c r="U161" s="316">
        <v>51.437075015579438</v>
      </c>
      <c r="V161" s="316">
        <v>47.553319898634612</v>
      </c>
      <c r="W161" s="316">
        <v>53.945947960113827</v>
      </c>
      <c r="X161" s="316">
        <v>55.477578513871165</v>
      </c>
      <c r="Y161" s="316">
        <v>55.235882296775628</v>
      </c>
      <c r="Z161" s="316">
        <v>53.971431866772612</v>
      </c>
      <c r="AA161" s="316">
        <v>58.003821300845928</v>
      </c>
      <c r="AB161" s="316">
        <v>62.11885482725458</v>
      </c>
      <c r="AC161" s="316">
        <v>66.52845474530875</v>
      </c>
      <c r="AD161" s="316">
        <v>69.545659740502614</v>
      </c>
      <c r="AE161" s="316">
        <v>67.682765958579722</v>
      </c>
      <c r="AF161" s="316">
        <v>58.915741719899486</v>
      </c>
    </row>
    <row r="162" spans="1:32">
      <c r="A162" s="21">
        <v>940</v>
      </c>
      <c r="B162" s="21" t="s">
        <v>181</v>
      </c>
      <c r="C162" s="1163"/>
      <c r="D162" s="1163">
        <v>36.871165644171775</v>
      </c>
      <c r="E162" s="1163">
        <v>36.174863387978142</v>
      </c>
      <c r="F162" s="1163">
        <v>38.5024154589372</v>
      </c>
      <c r="G162" s="1163">
        <v>38.105590062111801</v>
      </c>
      <c r="H162" s="1163">
        <v>33.197674418604649</v>
      </c>
      <c r="I162" s="1163">
        <v>36.675749318801088</v>
      </c>
      <c r="J162" s="1163">
        <v>33.410041841004187</v>
      </c>
      <c r="K162" s="1163">
        <v>32.009273570324574</v>
      </c>
      <c r="L162" s="1163">
        <v>28.976377952755904</v>
      </c>
      <c r="M162" s="1163">
        <v>30.052287581699343</v>
      </c>
      <c r="N162" s="317">
        <v>33.540301253305735</v>
      </c>
      <c r="O162" s="317">
        <v>33.901361464250293</v>
      </c>
      <c r="P162" s="317">
        <v>38.63653714023971</v>
      </c>
      <c r="Q162" s="317">
        <v>36.752304373406552</v>
      </c>
      <c r="R162" s="317">
        <v>36.222297602894614</v>
      </c>
      <c r="S162" s="317">
        <v>34.421512204802539</v>
      </c>
      <c r="T162" s="317">
        <v>38.66597186034393</v>
      </c>
      <c r="U162" s="317">
        <v>36.18774790656677</v>
      </c>
      <c r="V162" s="317">
        <v>35.687955422203174</v>
      </c>
      <c r="W162" s="317">
        <v>24.089964772829916</v>
      </c>
      <c r="X162" s="317">
        <v>16.511751925571545</v>
      </c>
      <c r="Y162" s="317">
        <v>20.066735137230239</v>
      </c>
      <c r="Z162" s="317">
        <v>26.406406406406408</v>
      </c>
      <c r="AA162" s="317">
        <v>30.930331956119105</v>
      </c>
      <c r="AB162" s="317">
        <v>34.071293355151283</v>
      </c>
      <c r="AC162" s="317">
        <v>36.137887376629351</v>
      </c>
      <c r="AD162" s="317">
        <v>36.669376096514583</v>
      </c>
      <c r="AE162" s="317">
        <v>37.296842960763321</v>
      </c>
      <c r="AF162" s="317">
        <v>33.545607173796697</v>
      </c>
    </row>
    <row r="163" spans="1:32">
      <c r="A163" s="21">
        <v>520</v>
      </c>
      <c r="B163" s="21" t="s">
        <v>110</v>
      </c>
      <c r="C163" s="1164">
        <v>33.179840087890625</v>
      </c>
      <c r="D163" s="1164">
        <v>24.820865631103516</v>
      </c>
      <c r="E163" s="1164">
        <v>25.968040466308594</v>
      </c>
      <c r="F163" s="1164">
        <v>23.627237319946289</v>
      </c>
      <c r="G163" s="1164">
        <v>14.588753700256348</v>
      </c>
      <c r="H163" s="1164">
        <v>6.3301281929016113</v>
      </c>
      <c r="I163" s="1164">
        <v>6.9635019302368164</v>
      </c>
      <c r="J163" s="1164">
        <v>6.6906828880310059</v>
      </c>
      <c r="K163" s="1164">
        <v>4.8225431442260742</v>
      </c>
      <c r="L163" s="1164">
        <v>7.6830811500549316</v>
      </c>
      <c r="M163" s="1164">
        <v>9.7867469787597656</v>
      </c>
    </row>
    <row r="164" spans="1:32">
      <c r="A164" s="21">
        <v>230</v>
      </c>
      <c r="B164" s="21" t="s">
        <v>44</v>
      </c>
      <c r="C164" s="1166">
        <v>14.655652227480722</v>
      </c>
      <c r="D164" s="1166">
        <v>16.699185903201123</v>
      </c>
      <c r="E164" s="1166">
        <v>17.410554166263221</v>
      </c>
      <c r="F164" s="1166">
        <v>19.562329536107864</v>
      </c>
      <c r="G164" s="1166">
        <v>21.846945930836732</v>
      </c>
      <c r="H164" s="1166">
        <v>21.397437192009949</v>
      </c>
      <c r="I164" s="1166">
        <v>18.661919930084284</v>
      </c>
      <c r="J164" s="1166">
        <v>18.177374134296528</v>
      </c>
      <c r="K164" s="1166">
        <v>17.744543198120557</v>
      </c>
      <c r="L164" s="1166">
        <v>17.026251483914365</v>
      </c>
      <c r="M164" s="1166">
        <v>16.12626674583418</v>
      </c>
      <c r="N164" s="319">
        <v>16.163105470163249</v>
      </c>
      <c r="O164" s="319">
        <v>16.600831964156946</v>
      </c>
      <c r="P164" s="319">
        <v>18.16101177393239</v>
      </c>
      <c r="Q164" s="319">
        <v>20.829697287284212</v>
      </c>
      <c r="R164" s="319">
        <v>22.384365112196868</v>
      </c>
      <c r="S164" s="319">
        <v>23.624315455149784</v>
      </c>
      <c r="T164" s="319">
        <v>26.304916842124065</v>
      </c>
      <c r="U164" s="319">
        <v>26.665776942425573</v>
      </c>
      <c r="V164" s="319">
        <v>26.671115387400807</v>
      </c>
      <c r="W164" s="319">
        <v>29.03422856807396</v>
      </c>
      <c r="X164" s="319">
        <v>28.521856149309954</v>
      </c>
      <c r="Y164" s="319">
        <v>27.32835440191112</v>
      </c>
      <c r="Z164" s="319">
        <v>26.322182471207476</v>
      </c>
      <c r="AA164" s="319">
        <v>25.944126452662292</v>
      </c>
      <c r="AB164" s="319">
        <v>25.681013917376035</v>
      </c>
      <c r="AC164" s="319">
        <v>26.326649625514587</v>
      </c>
      <c r="AD164" s="319">
        <v>26.913928547680793</v>
      </c>
      <c r="AE164" s="319">
        <v>26.459850326411892</v>
      </c>
      <c r="AF164" s="319">
        <v>23.437546080439439</v>
      </c>
    </row>
    <row r="165" spans="1:32">
      <c r="A165" s="21">
        <v>780</v>
      </c>
      <c r="B165" s="21" t="s">
        <v>165</v>
      </c>
      <c r="C165" s="1167">
        <v>32.218497752792096</v>
      </c>
      <c r="D165" s="1167">
        <v>30.459384742073997</v>
      </c>
      <c r="E165" s="1167">
        <v>27.356456196215163</v>
      </c>
      <c r="F165" s="1167">
        <v>26.328730849252885</v>
      </c>
      <c r="G165" s="1167">
        <v>28.804001404914597</v>
      </c>
      <c r="H165" s="1167">
        <v>26.01200923787529</v>
      </c>
      <c r="I165" s="1167">
        <v>23.718198736307208</v>
      </c>
      <c r="J165" s="1167">
        <v>25.192275432969204</v>
      </c>
      <c r="K165" s="1167">
        <v>26.076438630159203</v>
      </c>
      <c r="L165" s="1167">
        <v>27.260203818318239</v>
      </c>
      <c r="M165" s="1167">
        <v>30.180804514829823</v>
      </c>
      <c r="N165" s="320">
        <v>28.741086895218142</v>
      </c>
      <c r="O165" s="320">
        <v>31.77037408031828</v>
      </c>
      <c r="P165" s="320">
        <v>33.801006875982104</v>
      </c>
      <c r="Q165" s="320">
        <v>33.812883795787826</v>
      </c>
      <c r="R165" s="320">
        <v>35.597629130900962</v>
      </c>
      <c r="S165" s="320">
        <v>34.973337777037159</v>
      </c>
      <c r="T165" s="320">
        <v>36.538118082880196</v>
      </c>
      <c r="U165" s="320">
        <v>36.24381867727061</v>
      </c>
      <c r="V165" s="320">
        <v>35.483704713715817</v>
      </c>
      <c r="W165" s="320">
        <v>39.015710146665391</v>
      </c>
      <c r="X165" s="320">
        <v>37.33119897600006</v>
      </c>
      <c r="Y165" s="320">
        <v>34.91333019974487</v>
      </c>
      <c r="Z165" s="320">
        <v>34.653502832422845</v>
      </c>
      <c r="AA165" s="320">
        <v>35.330902732441153</v>
      </c>
      <c r="AB165" s="320">
        <v>32.336872987489308</v>
      </c>
      <c r="AC165" s="320">
        <v>30.128527093797214</v>
      </c>
      <c r="AD165" s="320">
        <v>29.114915857431551</v>
      </c>
      <c r="AE165" s="320">
        <v>24.84148146670255</v>
      </c>
      <c r="AF165" s="320">
        <v>21.364618447136163</v>
      </c>
    </row>
    <row r="166" spans="1:32">
      <c r="A166" s="21">
        <v>403</v>
      </c>
      <c r="B166" s="21" t="s">
        <v>82</v>
      </c>
    </row>
    <row r="167" spans="1:32">
      <c r="A167" s="21">
        <v>625</v>
      </c>
      <c r="B167" s="21" t="s">
        <v>132</v>
      </c>
      <c r="C167" s="1171">
        <v>10.581230163574219</v>
      </c>
      <c r="D167" s="1171">
        <v>9.6191282272338867</v>
      </c>
      <c r="E167" s="1171">
        <v>9.9350709915161133</v>
      </c>
      <c r="F167" s="1171">
        <v>10.597476959228516</v>
      </c>
      <c r="G167" s="1171">
        <v>8.4583158493041992</v>
      </c>
      <c r="H167" s="1171">
        <v>5.7466721534729004</v>
      </c>
      <c r="I167" s="1171">
        <v>4.7402944564819336</v>
      </c>
      <c r="J167" s="1171">
        <v>5.522334098815918</v>
      </c>
      <c r="K167" s="1171">
        <v>3.7955365180969238</v>
      </c>
      <c r="L167" s="1171">
        <v>5.341392993927002</v>
      </c>
      <c r="M167" s="1171">
        <v>4.0213890075683594</v>
      </c>
      <c r="N167" s="324">
        <v>3.3350257873535156</v>
      </c>
      <c r="O167" s="324">
        <v>5.2460694313049316</v>
      </c>
      <c r="P167" s="324">
        <v>4.2303767204284668</v>
      </c>
      <c r="Q167" s="324">
        <v>4.6905550956726074</v>
      </c>
      <c r="R167" s="324">
        <v>4.9694657325744629</v>
      </c>
      <c r="S167" s="324">
        <v>7.454829216003418</v>
      </c>
      <c r="T167" s="324">
        <v>5.3436298895896597</v>
      </c>
      <c r="U167" s="324">
        <v>6.7020936993879303</v>
      </c>
      <c r="V167" s="324">
        <v>7.7794093197931167</v>
      </c>
      <c r="W167" s="324">
        <v>15.299842876861389</v>
      </c>
      <c r="X167" s="324">
        <v>12.824112643280539</v>
      </c>
      <c r="Y167" s="324">
        <v>13.330708423953281</v>
      </c>
      <c r="Z167" s="324">
        <v>14.696094857938128</v>
      </c>
      <c r="AA167" s="324">
        <v>17.627051285646463</v>
      </c>
      <c r="AB167" s="324">
        <v>18.226459291989418</v>
      </c>
      <c r="AC167" s="324">
        <v>16.523017991730054</v>
      </c>
      <c r="AD167" s="324">
        <v>19.959030913234056</v>
      </c>
      <c r="AE167" s="324">
        <v>22.356010481839061</v>
      </c>
      <c r="AF167" s="324">
        <v>15.05168774394259</v>
      </c>
    </row>
    <row r="168" spans="1:32">
      <c r="A168" s="21">
        <v>115</v>
      </c>
      <c r="B168" s="21" t="s">
        <v>26</v>
      </c>
      <c r="C168" s="1172">
        <v>68.813692666820728</v>
      </c>
      <c r="D168" s="1172">
        <v>58.714358022608401</v>
      </c>
      <c r="E168" s="1172">
        <v>51.84942359176091</v>
      </c>
      <c r="F168" s="1172">
        <v>43.882982260072431</v>
      </c>
      <c r="G168" s="1172">
        <v>43.360527686165597</v>
      </c>
      <c r="H168" s="1172">
        <v>36.742051961064988</v>
      </c>
      <c r="I168" s="1172">
        <v>32.603815937149271</v>
      </c>
      <c r="J168" s="1172">
        <v>31.065979486656119</v>
      </c>
      <c r="K168" s="1172">
        <v>29.313463691963133</v>
      </c>
      <c r="L168" s="1172">
        <v>37.69814937698149</v>
      </c>
      <c r="M168" s="1172">
        <v>42.047386041720323</v>
      </c>
      <c r="N168" s="325">
        <v>35.001115324559443</v>
      </c>
      <c r="O168" s="325">
        <v>28.663700774427419</v>
      </c>
      <c r="P168" s="325">
        <v>20.412922697029977</v>
      </c>
      <c r="Q168" s="325">
        <v>22.937660224807729</v>
      </c>
      <c r="R168" s="325">
        <v>22.850212128378903</v>
      </c>
      <c r="S168" s="325">
        <v>23.349454198467264</v>
      </c>
      <c r="T168" s="325">
        <v>25.192203694737753</v>
      </c>
      <c r="U168" s="325">
        <v>31.109500529100529</v>
      </c>
      <c r="V168" s="325">
        <v>27.232007632107024</v>
      </c>
      <c r="W168" s="325">
        <v>19.72876447823991</v>
      </c>
      <c r="X168" s="325">
        <v>23.571491250366364</v>
      </c>
      <c r="Y168" s="325">
        <v>18.790883323098516</v>
      </c>
      <c r="Z168" s="325">
        <v>19.74461677457386</v>
      </c>
      <c r="AA168" s="325">
        <v>25.952680174545229</v>
      </c>
      <c r="AB168" s="325">
        <v>30.700283521200689</v>
      </c>
      <c r="AC168" s="325"/>
      <c r="AD168" s="325"/>
      <c r="AE168" s="325"/>
      <c r="AF168" s="325"/>
    </row>
    <row r="169" spans="1:32">
      <c r="A169" s="21">
        <v>57</v>
      </c>
      <c r="B169" s="21" t="s">
        <v>12</v>
      </c>
      <c r="C169" s="1170">
        <v>54.946877111097457</v>
      </c>
      <c r="D169" s="1170">
        <v>57.427213309566248</v>
      </c>
      <c r="E169" s="1170">
        <v>58.918122318061641</v>
      </c>
      <c r="F169" s="1170">
        <v>61.33427851291745</v>
      </c>
      <c r="G169" s="1170">
        <v>69.046344980288126</v>
      </c>
      <c r="H169" s="1170">
        <v>72.996915808123902</v>
      </c>
      <c r="I169" s="1170">
        <v>72.989324133444811</v>
      </c>
      <c r="J169" s="1170">
        <v>64.263969991994372</v>
      </c>
      <c r="K169" s="1170">
        <v>75.967140282492977</v>
      </c>
      <c r="L169" s="1170">
        <v>65.339461040317531</v>
      </c>
      <c r="M169" s="1170">
        <v>65.82143358995441</v>
      </c>
      <c r="N169" s="323">
        <v>52.843673584262241</v>
      </c>
      <c r="O169" s="323">
        <v>59.297026649437633</v>
      </c>
      <c r="P169" s="323">
        <v>50.002327940618351</v>
      </c>
      <c r="Q169" s="323">
        <v>46.27049629207518</v>
      </c>
      <c r="R169" s="323">
        <v>51.152186745142494</v>
      </c>
      <c r="S169" s="323">
        <v>52.887780150518303</v>
      </c>
      <c r="T169" s="323">
        <v>50.617346358477931</v>
      </c>
      <c r="U169" s="323">
        <v>49.524590036790684</v>
      </c>
      <c r="V169" s="323">
        <v>53.390473639569656</v>
      </c>
      <c r="W169" s="323">
        <v>52.922411344418464</v>
      </c>
      <c r="X169" s="323">
        <v>50.023316446573538</v>
      </c>
      <c r="Y169" s="323">
        <v>47.66051143471951</v>
      </c>
      <c r="Z169" s="323">
        <v>44.128030082498483</v>
      </c>
      <c r="AA169" s="323">
        <v>43.231984245319872</v>
      </c>
      <c r="AB169" s="323">
        <v>44.404537654525448</v>
      </c>
      <c r="AC169" s="323">
        <v>41.963454980464711</v>
      </c>
      <c r="AD169" s="323">
        <v>37.574374232668021</v>
      </c>
      <c r="AE169" s="323">
        <v>35.191799573425016</v>
      </c>
      <c r="AF169" s="323">
        <v>33.813041101463277</v>
      </c>
    </row>
    <row r="170" spans="1:32">
      <c r="A170" s="21">
        <v>572</v>
      </c>
      <c r="B170" s="21" t="s">
        <v>123</v>
      </c>
      <c r="C170" s="1173">
        <v>74.601404388376324</v>
      </c>
      <c r="D170" s="1173">
        <v>75.184667598323017</v>
      </c>
      <c r="E170" s="1173">
        <v>66.386846195612605</v>
      </c>
      <c r="F170" s="1173">
        <v>62.130269939924624</v>
      </c>
      <c r="G170" s="1173">
        <v>55.503767270568126</v>
      </c>
      <c r="H170" s="1173">
        <v>56.672899456115623</v>
      </c>
      <c r="I170" s="1173">
        <v>68.771312286191176</v>
      </c>
      <c r="J170" s="1173">
        <v>81.846466508943863</v>
      </c>
      <c r="K170" s="1173">
        <v>76.870278306647748</v>
      </c>
      <c r="L170" s="1173">
        <v>84.112047826255036</v>
      </c>
      <c r="M170" s="1173">
        <v>59.02125309796611</v>
      </c>
      <c r="N170" s="326">
        <v>59.25919218502613</v>
      </c>
      <c r="O170" s="326">
        <v>57.349165022686485</v>
      </c>
      <c r="P170" s="326">
        <v>57.285577342824823</v>
      </c>
      <c r="Q170" s="326">
        <v>63.678678414249667</v>
      </c>
      <c r="R170" s="326">
        <v>60.015715744320374</v>
      </c>
      <c r="S170" s="326">
        <v>59.354832245626874</v>
      </c>
      <c r="T170" s="326">
        <v>61.350765836993638</v>
      </c>
      <c r="U170" s="326">
        <v>67.809907309558639</v>
      </c>
      <c r="V170" s="326">
        <v>65.555605751195799</v>
      </c>
      <c r="W170" s="326">
        <v>76.064769117399223</v>
      </c>
      <c r="X170" s="326">
        <v>89.331624663202618</v>
      </c>
      <c r="Y170" s="326">
        <v>99.794000078616833</v>
      </c>
      <c r="Z170" s="326">
        <v>104.21382911927577</v>
      </c>
      <c r="AA170" s="326">
        <v>90.102201107331084</v>
      </c>
      <c r="AB170" s="326">
        <v>89.144625650525555</v>
      </c>
      <c r="AC170" s="326">
        <v>84.601519296020001</v>
      </c>
      <c r="AD170" s="326">
        <v>78.343198113661515</v>
      </c>
      <c r="AE170" s="326">
        <v>63.189278033794174</v>
      </c>
      <c r="AF170" s="326">
        <v>59.790162917082924</v>
      </c>
    </row>
    <row r="171" spans="1:32">
      <c r="A171" s="21">
        <v>380</v>
      </c>
      <c r="B171" s="21" t="s">
        <v>77</v>
      </c>
      <c r="C171" s="1174">
        <v>29.712330044174173</v>
      </c>
      <c r="D171" s="1174">
        <v>30.438684864256437</v>
      </c>
      <c r="E171" s="1174">
        <v>32.939505600722271</v>
      </c>
      <c r="F171" s="1174">
        <v>36.221978894677946</v>
      </c>
      <c r="G171" s="1174">
        <v>36.949044677077971</v>
      </c>
      <c r="H171" s="1174">
        <v>35.760371891059037</v>
      </c>
      <c r="I171" s="1174">
        <v>33.223890102891282</v>
      </c>
      <c r="J171" s="1174">
        <v>32.760642637510614</v>
      </c>
      <c r="K171" s="1174">
        <v>32.397989905735777</v>
      </c>
      <c r="L171" s="1174">
        <v>32.158303136086822</v>
      </c>
      <c r="M171" s="1174">
        <v>30.460225309281913</v>
      </c>
      <c r="N171" s="327">
        <v>28.231427746962069</v>
      </c>
      <c r="O171" s="327">
        <v>28.117413473831164</v>
      </c>
      <c r="P171" s="327">
        <v>32.745982457691085</v>
      </c>
      <c r="Q171" s="327">
        <v>36.07341408374181</v>
      </c>
      <c r="R171" s="327">
        <v>39.700813726980094</v>
      </c>
      <c r="S171" s="327">
        <v>38.560829379987752</v>
      </c>
      <c r="T171" s="327">
        <v>42.070618131100659</v>
      </c>
      <c r="U171" s="327">
        <v>43.049563857020964</v>
      </c>
      <c r="V171" s="327">
        <v>43.09857600537967</v>
      </c>
      <c r="W171" s="327">
        <v>46.522783362400446</v>
      </c>
      <c r="X171" s="327">
        <v>46.303278929356303</v>
      </c>
      <c r="Y171" s="327">
        <v>44.371242782254264</v>
      </c>
      <c r="Z171" s="327">
        <v>43.522077971068825</v>
      </c>
      <c r="AA171" s="327">
        <v>45.957337905122102</v>
      </c>
      <c r="AB171" s="327">
        <v>48.431288648160688</v>
      </c>
      <c r="AC171" s="327">
        <v>51.107020594468288</v>
      </c>
      <c r="AD171" s="327">
        <v>51.870206761445395</v>
      </c>
      <c r="AE171" s="327">
        <v>53.25577480373618</v>
      </c>
      <c r="AF171" s="327">
        <v>48.502381916099154</v>
      </c>
    </row>
    <row r="172" spans="1:32">
      <c r="A172" s="21">
        <v>225</v>
      </c>
      <c r="B172" s="21" t="s">
        <v>43</v>
      </c>
      <c r="C172" s="1175">
        <v>35.244988482524867</v>
      </c>
      <c r="D172" s="1175">
        <v>36.08248133370661</v>
      </c>
      <c r="E172" s="1175">
        <v>35.111718029332614</v>
      </c>
      <c r="F172" s="1175">
        <v>34.99928830709711</v>
      </c>
      <c r="G172" s="1175">
        <v>36.770428263519449</v>
      </c>
      <c r="H172" s="1175">
        <v>38.212058004289645</v>
      </c>
      <c r="I172" s="1175">
        <v>36.364375936451921</v>
      </c>
      <c r="J172" s="1175">
        <v>35.68310441597621</v>
      </c>
      <c r="K172" s="1175">
        <v>36.466237820874774</v>
      </c>
      <c r="L172" s="1175">
        <v>38.134277097982363</v>
      </c>
      <c r="M172" s="1175">
        <v>36.383991220044557</v>
      </c>
      <c r="N172" s="328">
        <v>35.386288263551648</v>
      </c>
      <c r="O172" s="328">
        <v>36.095139661133267</v>
      </c>
      <c r="P172" s="328">
        <v>36.552976611352022</v>
      </c>
      <c r="Q172" s="328">
        <v>36.186438471424744</v>
      </c>
      <c r="R172" s="328">
        <v>35.912340884041384</v>
      </c>
      <c r="S172" s="328">
        <v>36.527551514500807</v>
      </c>
      <c r="T172" s="328">
        <v>40.156532070791926</v>
      </c>
      <c r="U172" s="328">
        <v>40.583960841353239</v>
      </c>
      <c r="V172" s="328">
        <v>42.046619144704195</v>
      </c>
      <c r="W172" s="328">
        <v>46.47832416558213</v>
      </c>
      <c r="X172" s="328">
        <v>45.934513677864928</v>
      </c>
      <c r="Y172" s="328">
        <v>44.360898512420391</v>
      </c>
      <c r="Z172" s="328">
        <v>44.045791760422681</v>
      </c>
      <c r="AA172" s="328">
        <v>46.328851761656978</v>
      </c>
      <c r="AB172" s="328">
        <v>49.004524194459911</v>
      </c>
      <c r="AC172" s="328">
        <v>52.495890086557274</v>
      </c>
      <c r="AD172" s="328">
        <v>56.239961358008927</v>
      </c>
      <c r="AE172" s="328">
        <v>56.497014030189661</v>
      </c>
      <c r="AF172" s="328">
        <v>51.680646941798891</v>
      </c>
    </row>
    <row r="173" spans="1:32">
      <c r="A173" s="21">
        <v>652</v>
      </c>
      <c r="B173" s="21" t="s">
        <v>137</v>
      </c>
      <c r="C173" s="1176">
        <v>18.628051575883696</v>
      </c>
      <c r="D173" s="1176">
        <v>15.987952935550304</v>
      </c>
      <c r="E173" s="1176">
        <v>14.221392602906116</v>
      </c>
      <c r="F173" s="1176">
        <v>13.545692624070234</v>
      </c>
      <c r="G173" s="1176">
        <v>12.696675304948757</v>
      </c>
      <c r="H173" s="1176">
        <v>12.580837325605263</v>
      </c>
      <c r="I173" s="1176">
        <v>11.511357227231587</v>
      </c>
      <c r="J173" s="1176">
        <v>16.007182796010362</v>
      </c>
      <c r="K173" s="1176">
        <v>17.145514556419119</v>
      </c>
      <c r="L173" s="1176">
        <v>24.754515068440448</v>
      </c>
      <c r="M173" s="1176">
        <v>28.33919680391163</v>
      </c>
      <c r="N173" s="329">
        <v>24.405258630650525</v>
      </c>
      <c r="O173" s="329">
        <v>26.256491671824129</v>
      </c>
      <c r="P173" s="329">
        <v>27.865282594772268</v>
      </c>
      <c r="Q173" s="329">
        <v>33.061977747524701</v>
      </c>
      <c r="R173" s="329">
        <v>31.039712772012784</v>
      </c>
      <c r="S173" s="329">
        <v>31.825978458639053</v>
      </c>
      <c r="T173" s="329">
        <v>32.420740609527151</v>
      </c>
      <c r="U173" s="329">
        <v>30.529170976623774</v>
      </c>
      <c r="V173" s="329">
        <v>32.316760510418852</v>
      </c>
      <c r="W173" s="329">
        <v>35.389483079469407</v>
      </c>
      <c r="X173" s="329">
        <v>35.378199668155204</v>
      </c>
      <c r="Y173" s="329">
        <v>38.072007650165105</v>
      </c>
      <c r="Z173" s="329">
        <v>31.389976663751145</v>
      </c>
      <c r="AA173" s="329">
        <v>40.569233582738846</v>
      </c>
      <c r="AB173" s="329">
        <v>41.473011733329038</v>
      </c>
      <c r="AC173" s="329">
        <v>40.06210398613721</v>
      </c>
      <c r="AD173" s="329">
        <v>38.513739392641661</v>
      </c>
      <c r="AE173" s="329">
        <v>31.74202560283743</v>
      </c>
      <c r="AF173" s="329">
        <v>33.884439005273407</v>
      </c>
    </row>
    <row r="174" spans="1:32">
      <c r="A174" s="21">
        <v>702</v>
      </c>
      <c r="B174" s="21" t="s">
        <v>150</v>
      </c>
      <c r="C174" s="1177"/>
      <c r="D174" s="1177"/>
      <c r="E174" s="1177"/>
      <c r="F174" s="1177"/>
      <c r="G174" s="1177"/>
      <c r="H174" s="1177"/>
      <c r="I174" s="1177"/>
      <c r="J174" s="1177"/>
      <c r="K174" s="1177">
        <v>35.199999999999996</v>
      </c>
      <c r="L174" s="1177">
        <v>35.9</v>
      </c>
      <c r="M174" s="1177">
        <v>27.800000000000004</v>
      </c>
      <c r="N174" s="330">
        <v>33.200000000000003</v>
      </c>
      <c r="O174" s="330">
        <v>9.6792104304426285</v>
      </c>
      <c r="P174" s="330">
        <v>28.554791339032281</v>
      </c>
      <c r="Q174" s="330">
        <v>43.036252219139179</v>
      </c>
      <c r="R174" s="330">
        <v>65.585452395008858</v>
      </c>
      <c r="S174" s="330">
        <v>76.588304744960951</v>
      </c>
      <c r="T174" s="330">
        <v>87.238271484442521</v>
      </c>
      <c r="U174" s="330">
        <v>48.915041044532238</v>
      </c>
      <c r="V174" s="330">
        <v>66.073379303617102</v>
      </c>
      <c r="W174" s="330">
        <v>98.762202478802067</v>
      </c>
      <c r="X174" s="330">
        <v>67.991961895612732</v>
      </c>
      <c r="Y174" s="330">
        <v>65.461162387548029</v>
      </c>
      <c r="Z174" s="330">
        <v>63.376864057979596</v>
      </c>
      <c r="AA174" s="330">
        <v>58.314112759990408</v>
      </c>
      <c r="AB174" s="330">
        <v>26.025037301830046</v>
      </c>
      <c r="AC174" s="330">
        <v>23.345283203038072</v>
      </c>
      <c r="AD174" s="330">
        <v>20.658543894217718</v>
      </c>
      <c r="AE174" s="330">
        <v>16.85046611465955</v>
      </c>
      <c r="AF174" s="330">
        <v>13.41075700571818</v>
      </c>
    </row>
    <row r="175" spans="1:32">
      <c r="A175" s="21">
        <v>713</v>
      </c>
      <c r="B175" s="21" t="s">
        <v>156</v>
      </c>
    </row>
    <row r="176" spans="1:32">
      <c r="A176" s="21">
        <v>510</v>
      </c>
      <c r="B176" s="21" t="s">
        <v>107</v>
      </c>
      <c r="C176" s="1178"/>
      <c r="D176" s="1178"/>
      <c r="E176" s="1178"/>
      <c r="F176" s="1178"/>
      <c r="G176" s="1178"/>
      <c r="H176" s="1178"/>
      <c r="I176" s="1178"/>
      <c r="J176" s="1178"/>
      <c r="K176" s="1178"/>
      <c r="L176" s="1178"/>
      <c r="M176" s="1178">
        <v>12.621148848010035</v>
      </c>
      <c r="N176" s="331">
        <v>10.262061194561587</v>
      </c>
      <c r="O176" s="331">
        <v>12.441837886293523</v>
      </c>
      <c r="P176" s="331">
        <v>17.98310785750051</v>
      </c>
      <c r="Q176" s="331">
        <v>20.613980713107804</v>
      </c>
      <c r="R176" s="331">
        <v>24.074722728025161</v>
      </c>
      <c r="S176" s="331">
        <v>19.937164942953707</v>
      </c>
      <c r="T176" s="331">
        <v>16.218106716780138</v>
      </c>
      <c r="U176" s="331">
        <v>12.397729165892628</v>
      </c>
      <c r="V176" s="331">
        <v>12.5296570744999</v>
      </c>
      <c r="W176" s="331">
        <v>13.364909435910896</v>
      </c>
      <c r="X176" s="331">
        <v>17.006564857277922</v>
      </c>
      <c r="Y176" s="331">
        <v>17.580753213148309</v>
      </c>
      <c r="Z176" s="331">
        <v>18.562595946068502</v>
      </c>
      <c r="AA176" s="331">
        <v>19.651275244796729</v>
      </c>
      <c r="AB176" s="331">
        <v>20.8228235571484</v>
      </c>
      <c r="AC176" s="331">
        <v>22.562452107621379</v>
      </c>
      <c r="AD176" s="331">
        <v>24.325379298263137</v>
      </c>
      <c r="AE176" s="331">
        <v>22.633566232738495</v>
      </c>
      <c r="AF176" s="331">
        <v>23.227874896541337</v>
      </c>
    </row>
    <row r="177" spans="1:32">
      <c r="A177" s="21">
        <v>800</v>
      </c>
      <c r="B177" s="21" t="s">
        <v>168</v>
      </c>
      <c r="C177" s="1179">
        <v>24.111448654041929</v>
      </c>
      <c r="D177" s="1179">
        <v>23.847382269710891</v>
      </c>
      <c r="E177" s="1179">
        <v>22.917907452533711</v>
      </c>
      <c r="F177" s="1179">
        <v>20.111206882258724</v>
      </c>
      <c r="G177" s="1179">
        <v>21.901383335084372</v>
      </c>
      <c r="H177" s="1179">
        <v>23.213629180137524</v>
      </c>
      <c r="I177" s="1179">
        <v>25.601797728796356</v>
      </c>
      <c r="J177" s="1179">
        <v>28.89401151433686</v>
      </c>
      <c r="K177" s="1179">
        <v>33.01196770517867</v>
      </c>
      <c r="L177" s="1179">
        <v>34.921527627053742</v>
      </c>
      <c r="M177" s="1179">
        <v>34.131928649798319</v>
      </c>
      <c r="N177" s="332">
        <v>35.964310073965279</v>
      </c>
      <c r="O177" s="332">
        <v>36.972475896094856</v>
      </c>
      <c r="P177" s="332">
        <v>37.959581142327664</v>
      </c>
      <c r="Q177" s="332">
        <v>38.871685524358284</v>
      </c>
      <c r="R177" s="332">
        <v>41.843892444742295</v>
      </c>
      <c r="S177" s="332">
        <v>39.251654630663381</v>
      </c>
      <c r="T177" s="332">
        <v>48.009768092279636</v>
      </c>
      <c r="U177" s="332">
        <v>58.877862326383202</v>
      </c>
      <c r="V177" s="332">
        <v>58.297652129690157</v>
      </c>
      <c r="W177" s="332">
        <v>66.777637453681692</v>
      </c>
      <c r="X177" s="332">
        <v>65.856591854839053</v>
      </c>
      <c r="Y177" s="332">
        <v>64.194323862340639</v>
      </c>
      <c r="Z177" s="332">
        <v>65.68063357211625</v>
      </c>
      <c r="AA177" s="332">
        <v>70.697031932932646</v>
      </c>
      <c r="AB177" s="332">
        <v>73.56769487429176</v>
      </c>
      <c r="AC177" s="332">
        <v>73.597592313972399</v>
      </c>
      <c r="AD177" s="332">
        <v>73.384536349819612</v>
      </c>
      <c r="AE177" s="332">
        <v>76.486474949625332</v>
      </c>
      <c r="AF177" s="332">
        <v>68.36755074046637</v>
      </c>
    </row>
    <row r="178" spans="1:32">
      <c r="A178" s="21">
        <v>701</v>
      </c>
      <c r="B178" s="21" t="s">
        <v>149</v>
      </c>
      <c r="N178" s="338">
        <v>38.711706315408676</v>
      </c>
      <c r="O178" s="338">
        <v>67.141801680359379</v>
      </c>
      <c r="P178" s="338">
        <v>84.696716859704097</v>
      </c>
      <c r="Q178" s="338">
        <v>84.955065841225348</v>
      </c>
      <c r="R178" s="338">
        <v>83.972932009437116</v>
      </c>
      <c r="S178" s="338">
        <v>74.581330546847795</v>
      </c>
      <c r="T178" s="338">
        <v>42.688315413582657</v>
      </c>
      <c r="U178" s="338">
        <v>32.659319870383811</v>
      </c>
      <c r="V178" s="338">
        <v>56.139367899633285</v>
      </c>
      <c r="W178" s="338">
        <v>95.50162540035862</v>
      </c>
      <c r="X178" s="338">
        <v>81.391388910759119</v>
      </c>
      <c r="Y178" s="338">
        <v>69.049304874132631</v>
      </c>
      <c r="Z178" s="338">
        <v>62.309276828549784</v>
      </c>
      <c r="AA178" s="338">
        <v>61.652289352479009</v>
      </c>
      <c r="AB178" s="338">
        <v>65.026760721083861</v>
      </c>
      <c r="AC178" s="338">
        <v>73.091007145746261</v>
      </c>
      <c r="AD178" s="338">
        <v>75.393837037037031</v>
      </c>
      <c r="AE178" s="338">
        <v>72.544502438019364</v>
      </c>
      <c r="AF178" s="338">
        <v>75.593931398416885</v>
      </c>
    </row>
    <row r="179" spans="1:32">
      <c r="A179" s="21">
        <v>461</v>
      </c>
      <c r="B179" s="21" t="s">
        <v>97</v>
      </c>
      <c r="C179" s="1180">
        <v>51.062056464272743</v>
      </c>
      <c r="D179" s="1180">
        <v>46.233271324747619</v>
      </c>
      <c r="E179" s="1180">
        <v>50.148147770574482</v>
      </c>
      <c r="F179" s="1180">
        <v>45.476353867011547</v>
      </c>
      <c r="G179" s="1180">
        <v>51.242829258879318</v>
      </c>
      <c r="H179" s="1180">
        <v>48.408757293032302</v>
      </c>
      <c r="I179" s="1180">
        <v>43.984757439201267</v>
      </c>
      <c r="J179" s="1180">
        <v>41.369206582335181</v>
      </c>
      <c r="K179" s="1180">
        <v>43.658528801150226</v>
      </c>
      <c r="L179" s="1180">
        <v>39.66847469295908</v>
      </c>
      <c r="M179" s="1180">
        <v>33.473889868577231</v>
      </c>
      <c r="N179" s="333">
        <v>33.442777514106837</v>
      </c>
      <c r="O179" s="333">
        <v>26.934538205912045</v>
      </c>
      <c r="P179" s="333">
        <v>24.383862368464381</v>
      </c>
      <c r="Q179" s="333">
        <v>30.548558846851641</v>
      </c>
      <c r="R179" s="333">
        <v>32.436912801881604</v>
      </c>
      <c r="S179" s="333">
        <v>33.282037915495728</v>
      </c>
      <c r="T179" s="333">
        <v>28.975012264238782</v>
      </c>
      <c r="U179" s="333">
        <v>29.686342330075792</v>
      </c>
      <c r="V179" s="333">
        <v>28.874689347273197</v>
      </c>
      <c r="W179" s="333">
        <v>30.74077842058724</v>
      </c>
      <c r="X179" s="333">
        <v>31.669233914109533</v>
      </c>
      <c r="Y179" s="333">
        <v>33.766183427540852</v>
      </c>
      <c r="Z179" s="333">
        <v>33.806123574112803</v>
      </c>
      <c r="AA179" s="333">
        <v>33.523143753645321</v>
      </c>
      <c r="AB179" s="333">
        <v>40.321058282661788</v>
      </c>
      <c r="AC179" s="333">
        <v>42.291263100489665</v>
      </c>
      <c r="AD179" s="333">
        <v>41.942988586363654</v>
      </c>
      <c r="AE179" s="333"/>
      <c r="AF179" s="333"/>
    </row>
    <row r="180" spans="1:32">
      <c r="A180" s="21">
        <v>955</v>
      </c>
      <c r="B180" s="21" t="s">
        <v>185</v>
      </c>
      <c r="C180" s="1181">
        <v>30.062215380668334</v>
      </c>
      <c r="D180" s="1181">
        <v>25.375256171186972</v>
      </c>
      <c r="E180" s="1181">
        <v>27.588122824506073</v>
      </c>
      <c r="F180" s="1181">
        <v>18.657765804704034</v>
      </c>
      <c r="G180" s="1181">
        <v>26.608023384464087</v>
      </c>
      <c r="H180" s="1181">
        <v>30.128607642038187</v>
      </c>
      <c r="I180" s="1181">
        <v>25.712353339018438</v>
      </c>
      <c r="J180" s="1181">
        <v>30.926721366290284</v>
      </c>
      <c r="K180" s="1181">
        <v>22.736558752133053</v>
      </c>
      <c r="L180" s="1181">
        <v>25.103298838121567</v>
      </c>
      <c r="M180" s="1181">
        <v>33.870178585990381</v>
      </c>
      <c r="N180" s="334">
        <v>22.903297318740812</v>
      </c>
      <c r="O180" s="334">
        <v>23.641966616479458</v>
      </c>
      <c r="P180" s="334">
        <v>19.894088798455677</v>
      </c>
      <c r="Q180" s="334">
        <v>17.381836427370999</v>
      </c>
      <c r="R180" s="334">
        <v>17.488753628661044</v>
      </c>
      <c r="S180" s="334">
        <v>20.34994470793886</v>
      </c>
      <c r="T180" s="334">
        <v>23.731106378163069</v>
      </c>
      <c r="U180" s="334">
        <v>19.717765888115967</v>
      </c>
      <c r="V180" s="334">
        <v>15.955508325473247</v>
      </c>
      <c r="W180" s="334">
        <v>15.400674924166005</v>
      </c>
      <c r="X180" s="334">
        <v>13.611709910144981</v>
      </c>
      <c r="Y180" s="334">
        <v>18.510180425189489</v>
      </c>
      <c r="Z180" s="334">
        <v>19.86951811989039</v>
      </c>
      <c r="AA180" s="334">
        <v>20.634959750852932</v>
      </c>
      <c r="AB180" s="334">
        <v>19.48798549166343</v>
      </c>
      <c r="AC180" s="334">
        <v>15.545990117285537</v>
      </c>
      <c r="AD180" s="334">
        <v>13.54226367301129</v>
      </c>
      <c r="AE180" s="334">
        <v>12.353283900342793</v>
      </c>
      <c r="AF180" s="334">
        <v>13.161992316390519</v>
      </c>
    </row>
    <row r="181" spans="1:32">
      <c r="A181" s="21">
        <v>52</v>
      </c>
      <c r="B181" s="21" t="s">
        <v>7</v>
      </c>
      <c r="C181" s="1182">
        <v>50.447345294653587</v>
      </c>
      <c r="D181" s="1182">
        <v>45.882103322711259</v>
      </c>
      <c r="E181" s="1182">
        <v>34.914344565764296</v>
      </c>
      <c r="F181" s="1182">
        <v>30.747780824591491</v>
      </c>
      <c r="G181" s="1182">
        <v>32.131420958674518</v>
      </c>
      <c r="H181" s="1182">
        <v>32.553456391035731</v>
      </c>
      <c r="I181" s="1182">
        <v>33.259557776198839</v>
      </c>
      <c r="J181" s="1182">
        <v>33.896676901587647</v>
      </c>
      <c r="K181" s="1182">
        <v>38.916144514301735</v>
      </c>
      <c r="L181" s="1182">
        <v>42.640516933015114</v>
      </c>
      <c r="M181" s="1182">
        <v>45.362664677297346</v>
      </c>
      <c r="N181" s="335">
        <v>40.519701577136154</v>
      </c>
      <c r="O181" s="335">
        <v>41.973079096714486</v>
      </c>
      <c r="P181" s="335">
        <v>43.957590624557817</v>
      </c>
      <c r="Q181" s="335">
        <v>46.069996591755626</v>
      </c>
      <c r="R181" s="335">
        <v>53.765485782220182</v>
      </c>
      <c r="S181" s="335">
        <v>51.530123067354147</v>
      </c>
      <c r="T181" s="335">
        <v>53.854732432048202</v>
      </c>
      <c r="U181" s="335">
        <v>48.465131148597628</v>
      </c>
      <c r="V181" s="335">
        <v>50.00280776494079</v>
      </c>
      <c r="W181" s="335">
        <v>59.143401500920135</v>
      </c>
      <c r="X181" s="335">
        <v>55.317122122194917</v>
      </c>
      <c r="Y181" s="335">
        <v>50.27358322970332</v>
      </c>
      <c r="Z181" s="335">
        <v>52.129678015931034</v>
      </c>
      <c r="AA181" s="335">
        <v>56.051197129648799</v>
      </c>
      <c r="AB181" s="335">
        <v>65.775908305357461</v>
      </c>
      <c r="AC181" s="335">
        <v>68.492380402066388</v>
      </c>
      <c r="AD181" s="335">
        <v>67.123951472927288</v>
      </c>
      <c r="AE181" s="335">
        <v>68.384000235114186</v>
      </c>
      <c r="AF181" s="335"/>
    </row>
    <row r="182" spans="1:32">
      <c r="A182" s="21">
        <v>616</v>
      </c>
      <c r="B182" s="21" t="s">
        <v>130</v>
      </c>
      <c r="C182" s="1183">
        <v>40.237254625052962</v>
      </c>
      <c r="D182" s="1183">
        <v>41.371936568957231</v>
      </c>
      <c r="E182" s="1183">
        <v>36.90991591041545</v>
      </c>
      <c r="F182" s="1183">
        <v>34.364249042889149</v>
      </c>
      <c r="G182" s="1183">
        <v>32.962697274031562</v>
      </c>
      <c r="H182" s="1183">
        <v>32.103215878489095</v>
      </c>
      <c r="I182" s="1183">
        <v>30.182671359141949</v>
      </c>
      <c r="J182" s="1183">
        <v>34.826328824063815</v>
      </c>
      <c r="K182" s="1183">
        <v>42.017874050296747</v>
      </c>
      <c r="L182" s="1183">
        <v>44.345613614323405</v>
      </c>
      <c r="M182" s="1183">
        <v>43.557051323538929</v>
      </c>
      <c r="N182" s="336">
        <v>40.365622505985634</v>
      </c>
      <c r="O182" s="336">
        <v>39.535087335288708</v>
      </c>
      <c r="P182" s="336">
        <v>40.445339262088247</v>
      </c>
      <c r="Q182" s="336">
        <v>44.932274342662737</v>
      </c>
      <c r="R182" s="336">
        <v>44.90435027387138</v>
      </c>
      <c r="S182" s="336">
        <v>42.109376229263148</v>
      </c>
      <c r="T182" s="336">
        <v>43.767884315395584</v>
      </c>
      <c r="U182" s="336">
        <v>43.047866422584406</v>
      </c>
      <c r="V182" s="336">
        <v>42.514470078957181</v>
      </c>
      <c r="W182" s="336">
        <v>44.544461913106126</v>
      </c>
      <c r="X182" s="336">
        <v>47.677980895285721</v>
      </c>
      <c r="Y182" s="336">
        <v>45.231888998055055</v>
      </c>
      <c r="Z182" s="336">
        <v>43.813989597080969</v>
      </c>
      <c r="AA182" s="336">
        <v>46.92307692307692</v>
      </c>
      <c r="AB182" s="336">
        <v>49.718535158485331</v>
      </c>
      <c r="AC182" s="336">
        <v>50.384244868444362</v>
      </c>
      <c r="AD182" s="336">
        <v>53.222642766504414</v>
      </c>
      <c r="AE182" s="336">
        <v>60.199424141925761</v>
      </c>
      <c r="AF182" s="336">
        <v>51.991350450738885</v>
      </c>
    </row>
    <row r="183" spans="1:32">
      <c r="A183" s="21">
        <v>640</v>
      </c>
      <c r="B183" s="21" t="s">
        <v>134</v>
      </c>
      <c r="C183" s="1184">
        <v>5.1621039293388904</v>
      </c>
      <c r="D183" s="1184">
        <v>8.2375143828882411</v>
      </c>
      <c r="E183" s="1184">
        <v>11.864108464878671</v>
      </c>
      <c r="F183" s="1184">
        <v>12.473284426584591</v>
      </c>
      <c r="G183" s="1184">
        <v>15.606716244159458</v>
      </c>
      <c r="H183" s="1184">
        <v>15.860774528928212</v>
      </c>
      <c r="I183" s="1184">
        <v>13.312528076900035</v>
      </c>
      <c r="J183" s="1184">
        <v>15.580840422954983</v>
      </c>
      <c r="K183" s="1184">
        <v>18.65397041582672</v>
      </c>
      <c r="L183" s="1184">
        <v>16.202915751489392</v>
      </c>
      <c r="M183" s="1184">
        <v>13.365102851929553</v>
      </c>
      <c r="N183" s="337">
        <v>13.841130114110573</v>
      </c>
      <c r="O183" s="337">
        <v>14.392235733988922</v>
      </c>
      <c r="P183" s="337">
        <v>13.673802849848006</v>
      </c>
      <c r="Q183" s="337">
        <v>21.362131207212766</v>
      </c>
      <c r="R183" s="337">
        <v>19.891607502939696</v>
      </c>
      <c r="S183" s="337">
        <v>21.542658136953243</v>
      </c>
      <c r="T183" s="337">
        <v>24.581717684305225</v>
      </c>
      <c r="U183" s="337">
        <v>21.337640319742363</v>
      </c>
      <c r="V183" s="337">
        <v>19.439886161520874</v>
      </c>
      <c r="W183" s="337">
        <v>20.097872157020273</v>
      </c>
      <c r="X183" s="337">
        <v>27.440882467395589</v>
      </c>
      <c r="Y183" s="337">
        <v>25.217309688658073</v>
      </c>
      <c r="Z183" s="337">
        <v>22.994633111695283</v>
      </c>
      <c r="AA183" s="337">
        <v>23.551558335931944</v>
      </c>
      <c r="AB183" s="337">
        <v>21.855376209446213</v>
      </c>
      <c r="AC183" s="337">
        <v>22.669906649775552</v>
      </c>
      <c r="AD183" s="337">
        <v>22.32324135818936</v>
      </c>
      <c r="AE183" s="337">
        <v>23.907917994538337</v>
      </c>
      <c r="AF183" s="337">
        <v>23.243120626843954</v>
      </c>
    </row>
    <row r="184" spans="1:32">
      <c r="A184" s="21">
        <v>947</v>
      </c>
      <c r="B184" s="21" t="s">
        <v>183</v>
      </c>
    </row>
    <row r="185" spans="1:32">
      <c r="A185" s="21">
        <v>696</v>
      </c>
      <c r="B185" s="21" t="s">
        <v>146</v>
      </c>
      <c r="C185" s="1187">
        <v>77.929082028072813</v>
      </c>
      <c r="D185" s="1187">
        <v>69.234282977785554</v>
      </c>
      <c r="E185" s="1187">
        <v>63.255824998323995</v>
      </c>
      <c r="F185" s="1187">
        <v>59.536802588148362</v>
      </c>
      <c r="G185" s="1187">
        <v>59.038006001647538</v>
      </c>
      <c r="H185" s="1187">
        <v>58.739453811493277</v>
      </c>
      <c r="I185" s="1187">
        <v>47.634661525878421</v>
      </c>
      <c r="J185" s="1187">
        <v>55.584567425224982</v>
      </c>
      <c r="K185" s="1187">
        <v>53.818342893928417</v>
      </c>
      <c r="L185" s="1187">
        <v>59.389172068336762</v>
      </c>
      <c r="M185" s="1187">
        <v>66.356917946268851</v>
      </c>
      <c r="N185" s="341">
        <v>67.657144692234468</v>
      </c>
      <c r="O185" s="341">
        <v>70.769230768142009</v>
      </c>
      <c r="P185" s="341">
        <v>74.210682739632887</v>
      </c>
      <c r="Q185" s="341">
        <v>71.720220382064028</v>
      </c>
      <c r="R185" s="341">
        <v>68.964771163106292</v>
      </c>
      <c r="S185" s="341">
        <v>80.536257546183435</v>
      </c>
      <c r="T185" s="341">
        <v>83.062928879195695</v>
      </c>
      <c r="U185" s="341">
        <v>72.76075410682806</v>
      </c>
      <c r="V185" s="341">
        <v>69.911888622482707</v>
      </c>
      <c r="W185" s="341">
        <v>73.316181090877961</v>
      </c>
      <c r="X185" s="341">
        <v>72.68452437593173</v>
      </c>
      <c r="Y185" s="341">
        <v>73.159290082934575</v>
      </c>
      <c r="Z185" s="341">
        <v>78.981943155060165</v>
      </c>
      <c r="AA185" s="341">
        <v>89.802622085442096</v>
      </c>
      <c r="AB185" s="341">
        <v>92.6466192505968</v>
      </c>
      <c r="AC185" s="341">
        <v>91.399104559741872</v>
      </c>
      <c r="AD185" s="341">
        <v>87.144168962350776</v>
      </c>
      <c r="AE185" s="341"/>
      <c r="AF185" s="341"/>
    </row>
    <row r="186" spans="1:32">
      <c r="A186" s="21">
        <v>500</v>
      </c>
      <c r="B186" s="21" t="s">
        <v>105</v>
      </c>
      <c r="C186" s="1185">
        <v>19.443841846040126</v>
      </c>
      <c r="D186" s="1185">
        <v>16.077170418006432</v>
      </c>
      <c r="E186" s="1185">
        <v>8.3811710677382312</v>
      </c>
      <c r="F186" s="1185">
        <v>8.6594256807022756</v>
      </c>
      <c r="G186" s="1185">
        <v>12.692422577663246</v>
      </c>
      <c r="H186" s="1185">
        <v>13.738524866585808</v>
      </c>
      <c r="I186" s="1185">
        <v>12.810112115231037</v>
      </c>
      <c r="J186" s="1185">
        <v>8.2470987483238467</v>
      </c>
      <c r="K186" s="1185">
        <v>7.5726713138061799</v>
      </c>
      <c r="L186" s="1185">
        <v>7.9544006990522123</v>
      </c>
      <c r="M186" s="1185">
        <v>7.2407208592859016</v>
      </c>
      <c r="N186" s="339">
        <v>7.4644303084318633</v>
      </c>
      <c r="O186" s="339">
        <v>8.7610888046956656</v>
      </c>
      <c r="P186" s="339">
        <v>7.0625229773299196</v>
      </c>
      <c r="Q186" s="339">
        <v>8.7405318310012792</v>
      </c>
      <c r="R186" s="339">
        <v>11.791992333053127</v>
      </c>
      <c r="S186" s="339">
        <v>11.96111327359011</v>
      </c>
      <c r="T186" s="339">
        <v>13.359513678727966</v>
      </c>
      <c r="U186" s="339">
        <v>9.6390475875961812</v>
      </c>
      <c r="V186" s="339">
        <v>12.251573896911692</v>
      </c>
      <c r="W186" s="339">
        <v>10.651409293575801</v>
      </c>
      <c r="X186" s="339">
        <v>11.518082637262065</v>
      </c>
      <c r="Y186" s="339">
        <v>11.213279166506467</v>
      </c>
      <c r="Z186" s="339">
        <v>11.386724834281313</v>
      </c>
      <c r="AA186" s="339">
        <v>12.722486038751354</v>
      </c>
      <c r="AB186" s="339">
        <v>14.201489197848726</v>
      </c>
      <c r="AC186" s="339">
        <v>15.306855160540197</v>
      </c>
      <c r="AD186" s="339">
        <v>16.739420429755324</v>
      </c>
      <c r="AE186" s="339">
        <v>24.279545302580981</v>
      </c>
      <c r="AF186" s="339">
        <v>23.39163851185652</v>
      </c>
    </row>
    <row r="187" spans="1:32">
      <c r="A187" s="21">
        <v>200</v>
      </c>
      <c r="B187" s="21" t="s">
        <v>35</v>
      </c>
      <c r="C187" s="1188">
        <v>27.140798682585427</v>
      </c>
      <c r="D187" s="1188">
        <v>26.681858443337141</v>
      </c>
      <c r="E187" s="1188">
        <v>26.302735709405599</v>
      </c>
      <c r="F187" s="1188">
        <v>26.49451347137272</v>
      </c>
      <c r="G187" s="1188">
        <v>28.329286811977706</v>
      </c>
      <c r="H187" s="1188">
        <v>28.753476080694828</v>
      </c>
      <c r="I187" s="1188">
        <v>25.621548558521283</v>
      </c>
      <c r="J187" s="1188">
        <v>25.34683260821387</v>
      </c>
      <c r="K187" s="1188">
        <v>22.947064847129631</v>
      </c>
      <c r="L187" s="1188">
        <v>23.635854811012919</v>
      </c>
      <c r="M187" s="1188">
        <v>23.950038840365224</v>
      </c>
      <c r="N187" s="342">
        <v>23.161907179987441</v>
      </c>
      <c r="O187" s="342">
        <v>23.386059670781894</v>
      </c>
      <c r="P187" s="342">
        <v>25.349283700909208</v>
      </c>
      <c r="Q187" s="342">
        <v>26.438446897272243</v>
      </c>
      <c r="R187" s="342">
        <v>28.249912037377978</v>
      </c>
      <c r="S187" s="342">
        <v>29.300163996080471</v>
      </c>
      <c r="T187" s="342">
        <v>28.608567222507332</v>
      </c>
      <c r="U187" s="342">
        <v>26.536624874019171</v>
      </c>
      <c r="V187" s="342">
        <v>26.131491391470075</v>
      </c>
      <c r="W187" s="342">
        <v>27.630300256110136</v>
      </c>
      <c r="X187" s="342">
        <v>27.095166701245223</v>
      </c>
      <c r="Y187" s="342">
        <v>26.082687780550479</v>
      </c>
      <c r="Z187" s="342">
        <v>25.503664851642384</v>
      </c>
      <c r="AA187" s="342">
        <v>25.254124007860636</v>
      </c>
      <c r="AB187" s="342">
        <v>26.377886828200932</v>
      </c>
      <c r="AC187" s="342">
        <v>28.513156257189081</v>
      </c>
      <c r="AD187" s="342">
        <v>26.735850486316931</v>
      </c>
      <c r="AE187" s="342">
        <v>29.198241912410449</v>
      </c>
      <c r="AF187" s="342">
        <v>27.667221636367806</v>
      </c>
    </row>
    <row r="188" spans="1:32">
      <c r="A188" s="21">
        <v>369</v>
      </c>
      <c r="B188" s="21" t="s">
        <v>71</v>
      </c>
      <c r="C188" s="1186"/>
      <c r="D188" s="1186"/>
      <c r="E188" s="1186"/>
      <c r="F188" s="1186"/>
      <c r="G188" s="1186"/>
      <c r="H188" s="1186"/>
      <c r="I188" s="1186"/>
      <c r="J188" s="1186"/>
      <c r="K188" s="1186"/>
      <c r="L188" s="1186">
        <v>32.075939133949646</v>
      </c>
      <c r="M188" s="1186">
        <v>27.643317437428571</v>
      </c>
      <c r="N188" s="340">
        <v>26.115589871692972</v>
      </c>
      <c r="O188" s="340">
        <v>23.980905881749834</v>
      </c>
      <c r="P188" s="340">
        <v>25.877941644161151</v>
      </c>
      <c r="Q188" s="340">
        <v>35.388848439933554</v>
      </c>
      <c r="R188" s="340">
        <v>47.073248907016726</v>
      </c>
      <c r="S188" s="340">
        <v>45.651931203239862</v>
      </c>
      <c r="T188" s="340">
        <v>40.591225220110914</v>
      </c>
      <c r="U188" s="340">
        <v>41.887845788258296</v>
      </c>
      <c r="V188" s="340">
        <v>53.703789753680667</v>
      </c>
      <c r="W188" s="340">
        <v>62.444875639442586</v>
      </c>
      <c r="X188" s="340">
        <v>55.460600421176352</v>
      </c>
      <c r="Y188" s="340">
        <v>55.087020061113321</v>
      </c>
      <c r="Z188" s="340">
        <v>57.751062301753542</v>
      </c>
      <c r="AA188" s="340">
        <v>61.211255443869106</v>
      </c>
      <c r="AB188" s="340">
        <v>51.478303416906023</v>
      </c>
      <c r="AC188" s="340">
        <v>46.624203119343271</v>
      </c>
      <c r="AD188" s="340">
        <v>44.844054161677519</v>
      </c>
      <c r="AE188" s="340">
        <v>41.746633882648716</v>
      </c>
      <c r="AF188" s="340">
        <v>46.305426797271295</v>
      </c>
    </row>
    <row r="189" spans="1:32">
      <c r="A189" s="21">
        <v>165</v>
      </c>
      <c r="B189" s="21" t="s">
        <v>34</v>
      </c>
      <c r="C189" s="1190">
        <v>15.032970370049023</v>
      </c>
      <c r="D189" s="1190">
        <v>15.204112437944453</v>
      </c>
      <c r="E189" s="1190">
        <v>14.325866766725881</v>
      </c>
      <c r="F189" s="1190">
        <v>25.688872513406995</v>
      </c>
      <c r="G189" s="1190">
        <v>26.580620887065837</v>
      </c>
      <c r="H189" s="1190">
        <v>26.756526389678108</v>
      </c>
      <c r="I189" s="1190">
        <v>26.215088534927744</v>
      </c>
      <c r="J189" s="1190">
        <v>21.648694883542273</v>
      </c>
      <c r="K189" s="1190">
        <v>22.057888121724737</v>
      </c>
      <c r="L189" s="1190">
        <v>23.493869144965242</v>
      </c>
      <c r="M189" s="1190">
        <v>23.532123374695292</v>
      </c>
      <c r="N189" s="344">
        <v>20.693668298254316</v>
      </c>
      <c r="O189" s="344">
        <v>20.447574816426329</v>
      </c>
      <c r="P189" s="344">
        <v>19.126015846953702</v>
      </c>
      <c r="Q189" s="344">
        <v>19.766810388918696</v>
      </c>
      <c r="R189" s="344">
        <v>18.99681281219836</v>
      </c>
      <c r="S189" s="344">
        <v>19.669979797586493</v>
      </c>
      <c r="T189" s="344">
        <v>17.45784770070863</v>
      </c>
      <c r="U189" s="344">
        <v>16.419910561328479</v>
      </c>
      <c r="V189" s="344">
        <v>15.097653070083696</v>
      </c>
      <c r="W189" s="344">
        <v>16.698098928308223</v>
      </c>
      <c r="X189" s="344">
        <v>16.804659257906799</v>
      </c>
      <c r="Y189" s="344">
        <v>20.621672486209729</v>
      </c>
      <c r="Z189" s="344">
        <v>27.432420122062879</v>
      </c>
      <c r="AA189" s="344">
        <v>32.112295598031238</v>
      </c>
      <c r="AB189" s="344">
        <v>30.404019804063083</v>
      </c>
      <c r="AC189" s="344">
        <v>29.583811887665245</v>
      </c>
      <c r="AD189" s="344">
        <v>28.422531302771031</v>
      </c>
      <c r="AE189" s="344">
        <v>29.1641865561941</v>
      </c>
      <c r="AF189" s="344">
        <v>26.48628664786326</v>
      </c>
    </row>
    <row r="190" spans="1:32">
      <c r="A190" s="21">
        <v>2</v>
      </c>
      <c r="B190" s="21" t="s">
        <v>0</v>
      </c>
      <c r="C190" s="1189">
        <v>10.146341463414634</v>
      </c>
      <c r="D190" s="1189">
        <v>9.8331078033378443</v>
      </c>
      <c r="E190" s="1189">
        <v>8.7740496328655073</v>
      </c>
      <c r="F190" s="1189">
        <v>7.8987139638997412</v>
      </c>
      <c r="G190" s="1189">
        <v>7.7530509691313716</v>
      </c>
      <c r="H190" s="1189">
        <v>7.2165933855859299</v>
      </c>
      <c r="I190" s="1189">
        <v>7.2384180790960455</v>
      </c>
      <c r="J190" s="1189">
        <v>7.74207278144286</v>
      </c>
      <c r="K190" s="1189">
        <v>8.7715138221985089</v>
      </c>
      <c r="L190" s="1189">
        <v>9.2488418266048971</v>
      </c>
      <c r="M190" s="1189">
        <v>9.5937304511016901</v>
      </c>
      <c r="N190" s="343">
        <v>10.038363171355499</v>
      </c>
      <c r="O190" s="343">
        <v>10.092982595565445</v>
      </c>
      <c r="P190" s="343">
        <v>9.9118576417761517</v>
      </c>
      <c r="Q190" s="343">
        <v>10.251049000782306</v>
      </c>
      <c r="R190" s="343">
        <v>11.032299267593386</v>
      </c>
      <c r="S190" s="343">
        <v>11.147368285820733</v>
      </c>
      <c r="T190" s="343">
        <v>11.52810155938591</v>
      </c>
      <c r="U190" s="343">
        <v>10.912939022995079</v>
      </c>
      <c r="V190" s="343">
        <v>10.636490699924739</v>
      </c>
      <c r="W190" s="343">
        <v>11.043762880349133</v>
      </c>
      <c r="X190" s="343">
        <v>10.04211493174645</v>
      </c>
      <c r="Y190" s="343">
        <v>9.4710203773299853</v>
      </c>
      <c r="Z190" s="343">
        <v>9.3875121740071421</v>
      </c>
      <c r="AA190" s="343">
        <v>9.9912802756448791</v>
      </c>
      <c r="AB190" s="343">
        <v>10.37465122379707</v>
      </c>
      <c r="AC190" s="343">
        <v>11.030128522367692</v>
      </c>
      <c r="AD190" s="343">
        <v>11.817121563384489</v>
      </c>
      <c r="AE190" s="343">
        <v>12.828917607922556</v>
      </c>
      <c r="AF190" s="343">
        <v>11.179261987392874</v>
      </c>
    </row>
    <row r="191" spans="1:32">
      <c r="A191" s="21">
        <v>704</v>
      </c>
      <c r="B191" s="21" t="s">
        <v>152</v>
      </c>
      <c r="C191" s="1191"/>
      <c r="D191" s="1191"/>
      <c r="E191" s="1191"/>
      <c r="F191" s="1191"/>
      <c r="G191" s="1191"/>
      <c r="H191" s="1191"/>
      <c r="I191" s="1191"/>
      <c r="J191" s="1191"/>
      <c r="K191" s="1191"/>
      <c r="L191" s="1191"/>
      <c r="M191" s="1191">
        <v>28.835598697518378</v>
      </c>
      <c r="N191" s="345">
        <v>35.280173779393103</v>
      </c>
      <c r="O191" s="345">
        <v>27.033937729577268</v>
      </c>
      <c r="P191" s="345">
        <v>33.719663421648839</v>
      </c>
      <c r="Q191" s="345">
        <v>16.775589725883819</v>
      </c>
      <c r="R191" s="345">
        <v>27.946555577265066</v>
      </c>
      <c r="S191" s="345">
        <v>27.687280866695964</v>
      </c>
      <c r="T191" s="345">
        <v>27.040401093332516</v>
      </c>
      <c r="U191" s="345">
        <v>22.496540640239296</v>
      </c>
      <c r="V191" s="345">
        <v>18.14565783168754</v>
      </c>
      <c r="W191" s="345">
        <v>24.587993612172625</v>
      </c>
      <c r="X191" s="345">
        <v>28.075619126489276</v>
      </c>
      <c r="Y191" s="345">
        <v>30.811468627207539</v>
      </c>
      <c r="Z191" s="345">
        <v>37.249172084518491</v>
      </c>
      <c r="AA191" s="345">
        <v>40.207735095016723</v>
      </c>
      <c r="AB191" s="345">
        <v>37.854246203700214</v>
      </c>
      <c r="AC191" s="345">
        <v>37.144257850698246</v>
      </c>
      <c r="AD191" s="345">
        <v>39.675662132532942</v>
      </c>
      <c r="AE191" s="345">
        <v>43.523972703138483</v>
      </c>
      <c r="AF191" s="345">
        <v>36.379028422947549</v>
      </c>
    </row>
    <row r="192" spans="1:32">
      <c r="A192" s="21">
        <v>935</v>
      </c>
      <c r="B192" s="21" t="s">
        <v>180</v>
      </c>
      <c r="C192" s="1192">
        <v>33.153040283757306</v>
      </c>
      <c r="D192" s="1192">
        <v>38.374163443236938</v>
      </c>
      <c r="E192" s="1192">
        <v>42.765006079603545</v>
      </c>
      <c r="F192" s="1192">
        <v>54.22642858448323</v>
      </c>
      <c r="G192" s="1192">
        <v>57.676009218645454</v>
      </c>
      <c r="H192" s="1192">
        <v>48.734370234827686</v>
      </c>
      <c r="I192" s="1192">
        <v>34.762766543394449</v>
      </c>
      <c r="J192" s="1192">
        <v>35.777901475090452</v>
      </c>
      <c r="K192" s="1192">
        <v>35.514440433212997</v>
      </c>
      <c r="L192" s="1192">
        <v>37.397113205296435</v>
      </c>
      <c r="M192" s="1192">
        <v>47.082299644051346</v>
      </c>
      <c r="N192" s="346">
        <v>42.653961029725501</v>
      </c>
      <c r="O192" s="346">
        <v>45.609460006294682</v>
      </c>
      <c r="P192" s="346">
        <v>46.000787160537023</v>
      </c>
      <c r="Q192" s="346">
        <v>45.315989499666962</v>
      </c>
      <c r="R192" s="346">
        <v>44.647828242382644</v>
      </c>
      <c r="S192" s="346">
        <v>45.960351940418384</v>
      </c>
      <c r="T192" s="346">
        <v>52.138279932546375</v>
      </c>
      <c r="U192" s="346">
        <v>40.924082860780004</v>
      </c>
      <c r="V192" s="346">
        <v>36.172891313470416</v>
      </c>
      <c r="W192" s="346">
        <v>37.956374362822473</v>
      </c>
      <c r="X192" s="346">
        <v>36.665893450862136</v>
      </c>
      <c r="Y192" s="346">
        <v>38.151282729436659</v>
      </c>
      <c r="Z192" s="346">
        <v>42.115874095914926</v>
      </c>
      <c r="AA192" s="346">
        <v>42.602143892757823</v>
      </c>
      <c r="AB192" s="346">
        <v>43.575595144253512</v>
      </c>
      <c r="AC192" s="346">
        <v>40.651807905074961</v>
      </c>
      <c r="AD192" s="346">
        <v>39.436039007600748</v>
      </c>
      <c r="AE192" s="346">
        <v>42.581909739928605</v>
      </c>
      <c r="AF192" s="346"/>
    </row>
    <row r="193" spans="1:32">
      <c r="A193" s="21">
        <v>101</v>
      </c>
      <c r="B193" s="21" t="s">
        <v>24</v>
      </c>
      <c r="C193" s="1193">
        <v>28.777702719214709</v>
      </c>
      <c r="D193" s="1193">
        <v>26.843834305000247</v>
      </c>
      <c r="E193" s="1193">
        <v>22.163433977805344</v>
      </c>
      <c r="F193" s="1193">
        <v>19.512894052566399</v>
      </c>
      <c r="G193" s="1193">
        <v>26.811072718938078</v>
      </c>
      <c r="H193" s="1193">
        <v>24.118148797288359</v>
      </c>
      <c r="I193" s="1193">
        <v>19.817244154007462</v>
      </c>
      <c r="J193" s="1193">
        <v>21.438274812014026</v>
      </c>
      <c r="K193" s="1193">
        <v>20.56868010430599</v>
      </c>
      <c r="L193" s="1193">
        <v>34.123431418051716</v>
      </c>
      <c r="M193" s="1193">
        <v>39.450023494457199</v>
      </c>
      <c r="N193" s="347">
        <v>31.353267761692866</v>
      </c>
      <c r="O193" s="347">
        <v>26.353006898491415</v>
      </c>
      <c r="P193" s="347">
        <v>26.958345243763958</v>
      </c>
      <c r="Q193" s="347">
        <v>30.863330433102654</v>
      </c>
      <c r="R193" s="347">
        <v>27.10714683940579</v>
      </c>
      <c r="S193" s="347">
        <v>36.514148770273422</v>
      </c>
      <c r="T193" s="347">
        <v>29.259010606999936</v>
      </c>
      <c r="U193" s="347">
        <v>20.920486481036008</v>
      </c>
      <c r="V193" s="347">
        <v>22.91170890022007</v>
      </c>
      <c r="W193" s="347">
        <v>29.744219659782758</v>
      </c>
      <c r="X193" s="347">
        <v>22.735631565164844</v>
      </c>
      <c r="Y193" s="347">
        <v>30.433570549214473</v>
      </c>
      <c r="Z193" s="347">
        <v>33.853389408439604</v>
      </c>
      <c r="AA193" s="347">
        <v>36.19835356721039</v>
      </c>
      <c r="AB193" s="347">
        <v>39.658652743625204</v>
      </c>
      <c r="AC193" s="347">
        <v>36.364790271396998</v>
      </c>
      <c r="AD193" s="347">
        <v>31.23707396712847</v>
      </c>
      <c r="AE193" s="347">
        <v>30.623780497742665</v>
      </c>
      <c r="AF193" s="347">
        <v>18.251129945737031</v>
      </c>
    </row>
    <row r="194" spans="1:32">
      <c r="A194" s="21">
        <v>990</v>
      </c>
      <c r="B194" s="21" t="s">
        <v>190</v>
      </c>
      <c r="N194" s="308"/>
      <c r="O194" s="308"/>
      <c r="P194" s="308"/>
      <c r="Q194" s="308">
        <v>23.508398144959113</v>
      </c>
      <c r="R194" s="308">
        <v>34.62115892195559</v>
      </c>
      <c r="S194" s="308">
        <v>35.356062788018434</v>
      </c>
      <c r="T194" s="308">
        <v>32.702620143905605</v>
      </c>
      <c r="U194" s="308">
        <v>36.31009309814651</v>
      </c>
      <c r="V194" s="308">
        <v>35.78571345996</v>
      </c>
      <c r="W194" s="308">
        <v>33.817003903930726</v>
      </c>
      <c r="X194" s="308">
        <v>34.580846940537633</v>
      </c>
      <c r="Y194" s="308">
        <v>32.879104279024396</v>
      </c>
      <c r="Z194" s="308">
        <v>31.292433406023346</v>
      </c>
      <c r="AA194" s="308">
        <v>31.64914304511613</v>
      </c>
      <c r="AB194" s="308">
        <v>31.871873664614725</v>
      </c>
      <c r="AC194" s="308">
        <v>33.304570955911856</v>
      </c>
      <c r="AD194" s="308">
        <v>32.710521030020423</v>
      </c>
      <c r="AE194" s="308">
        <v>32.439751275292522</v>
      </c>
      <c r="AF194" s="308">
        <v>33.471737557933153</v>
      </c>
    </row>
    <row r="195" spans="1:32" s="21" customFormat="1">
      <c r="A195" s="21">
        <v>679</v>
      </c>
      <c r="B195" s="21" t="s">
        <v>142</v>
      </c>
      <c r="C195" s="1195"/>
      <c r="D195" s="1195"/>
      <c r="E195" s="1195"/>
      <c r="F195" s="1195"/>
      <c r="G195" s="1195"/>
      <c r="H195" s="1195"/>
      <c r="I195" s="1195"/>
      <c r="J195" s="1195"/>
      <c r="K195" s="1195"/>
      <c r="L195" s="1195"/>
      <c r="M195" s="1195">
        <v>14.277920569160999</v>
      </c>
      <c r="N195" s="349">
        <v>13.749619660626594</v>
      </c>
      <c r="O195" s="349">
        <v>21.464515695314784</v>
      </c>
      <c r="P195" s="349">
        <v>27.424124871250257</v>
      </c>
      <c r="Q195" s="349">
        <v>51.23851049567584</v>
      </c>
      <c r="R195" s="349">
        <v>50.724781021733101</v>
      </c>
      <c r="S195" s="349">
        <v>42.256742352314156</v>
      </c>
      <c r="T195" s="349">
        <v>35.774934012142147</v>
      </c>
      <c r="U195" s="349">
        <v>26.569559411041134</v>
      </c>
      <c r="V195" s="349">
        <v>35.646846697326282</v>
      </c>
      <c r="W195" s="349">
        <v>42.339565493078254</v>
      </c>
      <c r="X195" s="349">
        <v>36.68055741341027</v>
      </c>
      <c r="Y195" s="349">
        <v>38.947328867700882</v>
      </c>
      <c r="Z195" s="349">
        <v>38.001575485066461</v>
      </c>
      <c r="AA195" s="349"/>
      <c r="AB195" s="349"/>
      <c r="AC195" s="349"/>
      <c r="AD195" s="349"/>
      <c r="AE195" s="349"/>
      <c r="AF195" s="349"/>
    </row>
    <row r="196" spans="1:32">
      <c r="A196" s="21">
        <v>345</v>
      </c>
      <c r="B196" s="21" t="s">
        <v>59</v>
      </c>
      <c r="N196" s="311"/>
      <c r="O196" s="311"/>
      <c r="P196" s="311"/>
      <c r="Q196" s="311"/>
      <c r="R196" s="311"/>
      <c r="S196" s="311"/>
      <c r="T196" s="311">
        <v>16.741871895807943</v>
      </c>
      <c r="U196" s="311">
        <v>23.563878175595406</v>
      </c>
      <c r="V196" s="311">
        <v>17.504076452804249</v>
      </c>
      <c r="W196" s="311">
        <v>23.855178803999401</v>
      </c>
      <c r="X196" s="311">
        <v>21.298442372821768</v>
      </c>
      <c r="Y196" s="311">
        <v>19.610938824443647</v>
      </c>
      <c r="Z196" s="311">
        <v>22.154842794720004</v>
      </c>
      <c r="AA196" s="311">
        <v>23.435610635376776</v>
      </c>
      <c r="AB196" s="311">
        <v>26.178989341017328</v>
      </c>
      <c r="AC196" s="311">
        <v>29.874954338300618</v>
      </c>
      <c r="AD196" s="311">
        <v>30.174540399538035</v>
      </c>
      <c r="AE196" s="311">
        <v>30.379248547706911</v>
      </c>
      <c r="AF196" s="311">
        <v>27.452777884049812</v>
      </c>
    </row>
    <row r="197" spans="1:32">
      <c r="A197" s="21">
        <v>551</v>
      </c>
      <c r="B197" s="21" t="s">
        <v>116</v>
      </c>
      <c r="C197" s="1196">
        <v>41.389213572979713</v>
      </c>
      <c r="D197" s="1196">
        <v>28.633728744890501</v>
      </c>
      <c r="E197" s="1196">
        <v>27.677801725288859</v>
      </c>
      <c r="F197" s="1196">
        <v>32.918780305559139</v>
      </c>
      <c r="G197" s="1196">
        <v>35.071996173965374</v>
      </c>
      <c r="H197" s="1196">
        <v>36.439993179994218</v>
      </c>
      <c r="I197" s="1196">
        <v>42.153945198716364</v>
      </c>
      <c r="J197" s="1196">
        <v>39.475049948728767</v>
      </c>
      <c r="K197" s="1196">
        <v>33.306946250149416</v>
      </c>
      <c r="L197" s="1196">
        <v>26.80550577112944</v>
      </c>
      <c r="M197" s="1196">
        <v>35.879782434238308</v>
      </c>
      <c r="N197" s="350">
        <v>34.612577911439729</v>
      </c>
      <c r="O197" s="350">
        <v>36.391336320457235</v>
      </c>
      <c r="P197" s="350">
        <v>33.56954344537445</v>
      </c>
      <c r="Q197" s="350">
        <v>36.004940374846861</v>
      </c>
      <c r="R197" s="350">
        <v>36.016793057157614</v>
      </c>
      <c r="S197" s="350">
        <v>31.325813433131479</v>
      </c>
      <c r="T197" s="350">
        <v>30.121398554265728</v>
      </c>
      <c r="U197" s="350">
        <v>26.903232643957409</v>
      </c>
      <c r="V197" s="350">
        <v>27.219600014892116</v>
      </c>
      <c r="W197" s="350">
        <v>27.10514745972042</v>
      </c>
      <c r="X197" s="350">
        <v>28.059601776535754</v>
      </c>
      <c r="Y197" s="350">
        <v>27.719386454832279</v>
      </c>
      <c r="Z197" s="350">
        <v>28.706465117278825</v>
      </c>
      <c r="AA197" s="350">
        <v>38.330378051688477</v>
      </c>
      <c r="AB197" s="350">
        <v>34.684559518666688</v>
      </c>
      <c r="AC197" s="350">
        <v>38.591480759981387</v>
      </c>
      <c r="AD197" s="350">
        <v>42.082354981262007</v>
      </c>
      <c r="AE197" s="350">
        <v>36.619909867881901</v>
      </c>
      <c r="AF197" s="350">
        <v>35.609299249516106</v>
      </c>
    </row>
    <row r="198" spans="1:32">
      <c r="A198" s="21">
        <v>552</v>
      </c>
      <c r="B198" s="21" t="s">
        <v>117</v>
      </c>
      <c r="C198" s="1197">
        <v>23.367392281363504</v>
      </c>
      <c r="D198" s="1197">
        <v>19.425226365242658</v>
      </c>
      <c r="E198" s="1197">
        <v>16.925580193325505</v>
      </c>
      <c r="F198" s="1197">
        <v>16.442924383407668</v>
      </c>
      <c r="G198" s="1197">
        <v>20.561138462122237</v>
      </c>
      <c r="H198" s="1197">
        <v>22.205775115472143</v>
      </c>
      <c r="I198" s="1197">
        <v>24.049410419323141</v>
      </c>
      <c r="J198" s="1197">
        <v>24.015710779480546</v>
      </c>
      <c r="K198" s="1197">
        <v>23.740346072969672</v>
      </c>
      <c r="L198" s="1197">
        <v>23.342282587285343</v>
      </c>
      <c r="M198" s="1197">
        <v>22.866846077085182</v>
      </c>
      <c r="N198" s="351">
        <v>23.88346905202479</v>
      </c>
      <c r="O198" s="351">
        <v>27.227262625641874</v>
      </c>
      <c r="P198" s="351">
        <v>30.719616408220425</v>
      </c>
      <c r="Q198" s="351">
        <v>34.599976091653431</v>
      </c>
      <c r="R198" s="351">
        <v>38.236343753443968</v>
      </c>
      <c r="S198" s="351">
        <v>36.130073188138034</v>
      </c>
      <c r="T198" s="351">
        <v>37.595272308922681</v>
      </c>
      <c r="U198" s="351">
        <v>43.393085973655801</v>
      </c>
      <c r="V198" s="351">
        <v>37.881969528749231</v>
      </c>
      <c r="W198" s="351">
        <v>38.641724658507556</v>
      </c>
      <c r="X198" s="351">
        <v>35.053338191742448</v>
      </c>
      <c r="Y198" s="351">
        <v>32.091784335001179</v>
      </c>
      <c r="Z198" s="351">
        <v>32.795366978150859</v>
      </c>
      <c r="AA198" s="351">
        <v>35.286466142455097</v>
      </c>
      <c r="AB198" s="351">
        <v>34.581249705628558</v>
      </c>
      <c r="AC198" s="351">
        <v>37.618441002902536</v>
      </c>
      <c r="AD198" s="351">
        <v>39.846476347951857</v>
      </c>
      <c r="AE198" s="351">
        <v>42.427414355343373</v>
      </c>
      <c r="AF198" s="351">
        <v>36.259595577201772</v>
      </c>
    </row>
  </sheetData>
  <sortState ref="A6:U200">
    <sortCondition ref="B6:B200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1"/>
  <sheetViews>
    <sheetView topLeftCell="O1" workbookViewId="0">
      <selection activeCell="C6" sqref="C6:N6"/>
    </sheetView>
  </sheetViews>
  <sheetFormatPr defaultRowHeight="15"/>
  <cols>
    <col min="3" max="13" width="9.140625" style="534"/>
  </cols>
  <sheetData>
    <row r="1" spans="1:32">
      <c r="A1" s="12" t="s">
        <v>438</v>
      </c>
    </row>
    <row r="2" spans="1:32">
      <c r="A2" s="1" t="s">
        <v>423</v>
      </c>
    </row>
    <row r="3" spans="1:32">
      <c r="A3" s="171" t="s">
        <v>439</v>
      </c>
    </row>
    <row r="6" spans="1:32">
      <c r="A6" s="21" t="s">
        <v>191</v>
      </c>
      <c r="B6" s="21" t="s">
        <v>192</v>
      </c>
      <c r="C6" s="534">
        <v>1980</v>
      </c>
      <c r="D6" s="534">
        <v>1981</v>
      </c>
      <c r="E6" s="11">
        <v>1982</v>
      </c>
      <c r="F6" s="11">
        <v>1983</v>
      </c>
      <c r="G6" s="534">
        <v>1984</v>
      </c>
      <c r="H6" s="11">
        <v>1985</v>
      </c>
      <c r="I6" s="11">
        <v>1986</v>
      </c>
      <c r="J6" s="534">
        <v>1987</v>
      </c>
      <c r="K6" s="11">
        <v>1988</v>
      </c>
      <c r="L6" s="11">
        <v>1989</v>
      </c>
      <c r="M6" s="534">
        <v>1990</v>
      </c>
      <c r="N6" s="11">
        <v>1991</v>
      </c>
      <c r="O6" s="11">
        <v>1992</v>
      </c>
      <c r="P6" s="11">
        <v>1993</v>
      </c>
      <c r="Q6" s="11">
        <v>1994</v>
      </c>
      <c r="R6" s="11">
        <v>1995</v>
      </c>
      <c r="S6" s="11">
        <v>1996</v>
      </c>
      <c r="T6" s="11">
        <v>1997</v>
      </c>
      <c r="U6" s="11">
        <v>1998</v>
      </c>
      <c r="V6" s="11">
        <v>1999</v>
      </c>
      <c r="W6" s="11">
        <v>2000</v>
      </c>
      <c r="X6" s="11">
        <v>2001</v>
      </c>
      <c r="Y6" s="11">
        <v>2002</v>
      </c>
      <c r="Z6" s="11">
        <v>2003</v>
      </c>
      <c r="AA6" s="11">
        <v>2004</v>
      </c>
      <c r="AB6" s="11">
        <v>2005</v>
      </c>
      <c r="AC6" s="22">
        <v>2006</v>
      </c>
      <c r="AD6" s="11">
        <v>2007</v>
      </c>
      <c r="AE6" s="11">
        <v>2008</v>
      </c>
      <c r="AF6" s="11">
        <v>2009</v>
      </c>
    </row>
    <row r="7" spans="1:32">
      <c r="A7" s="21">
        <v>58</v>
      </c>
      <c r="B7" s="21" t="s">
        <v>13</v>
      </c>
      <c r="C7" s="1201">
        <v>86.674742580254389</v>
      </c>
      <c r="D7" s="1201">
        <v>95.575067785154246</v>
      </c>
      <c r="E7" s="1201">
        <v>107.1361362950622</v>
      </c>
      <c r="F7" s="1201">
        <v>76.473432028671411</v>
      </c>
      <c r="G7" s="1201">
        <v>85.004699453551908</v>
      </c>
      <c r="H7" s="1201">
        <v>92.736176937455127</v>
      </c>
      <c r="I7" s="1201">
        <v>105.76273767923847</v>
      </c>
      <c r="J7" s="1201">
        <v>103.41702642602264</v>
      </c>
      <c r="K7" s="1201">
        <v>90.287379931764505</v>
      </c>
      <c r="L7" s="1201">
        <v>90.762649250436539</v>
      </c>
      <c r="M7" s="1201">
        <v>86.972685104612012</v>
      </c>
      <c r="N7" s="356">
        <v>90.670994673338072</v>
      </c>
      <c r="O7" s="356">
        <v>93.2981401202629</v>
      </c>
      <c r="P7" s="356">
        <v>90.7151323177237</v>
      </c>
      <c r="Q7" s="356">
        <v>57.271297547102741</v>
      </c>
      <c r="R7" s="356">
        <v>95.600687207358163</v>
      </c>
      <c r="S7" s="356">
        <v>98.562528899307694</v>
      </c>
      <c r="T7" s="356">
        <v>82.484672099840012</v>
      </c>
      <c r="U7" s="356">
        <v>79.014994640989087</v>
      </c>
      <c r="V7" s="356">
        <v>81.202840909090909</v>
      </c>
      <c r="W7" s="356">
        <v>75.050048235904242</v>
      </c>
      <c r="X7" s="356">
        <v>68.820350235121381</v>
      </c>
      <c r="Y7" s="356">
        <v>65.490983836307578</v>
      </c>
      <c r="Z7" s="356">
        <v>69.954116032831877</v>
      </c>
      <c r="AA7" s="356">
        <v>71.565746262894208</v>
      </c>
      <c r="AB7" s="356">
        <v>77.493259727996374</v>
      </c>
      <c r="AC7" s="356">
        <v>79.788816507778321</v>
      </c>
      <c r="AD7" s="356">
        <v>79.92941153842456</v>
      </c>
      <c r="AE7" s="356">
        <v>77.499192046661221</v>
      </c>
      <c r="AF7" s="356">
        <v>68.196782469827482</v>
      </c>
    </row>
    <row r="8" spans="1:32">
      <c r="A8" s="21">
        <v>700</v>
      </c>
      <c r="B8" s="21" t="s">
        <v>148</v>
      </c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>
        <v>61.599727260284475</v>
      </c>
      <c r="Z8" s="352">
        <v>90.840320445778957</v>
      </c>
      <c r="AA8" s="352">
        <v>77.566508497099903</v>
      </c>
      <c r="AB8" s="352">
        <v>71.264726959552902</v>
      </c>
      <c r="AC8" s="352">
        <v>67.706160236468477</v>
      </c>
      <c r="AD8" s="352">
        <v>59.000138124556486</v>
      </c>
      <c r="AE8" s="352">
        <v>47.654833333333336</v>
      </c>
      <c r="AF8" s="352"/>
    </row>
    <row r="9" spans="1:32">
      <c r="A9" s="21">
        <v>339</v>
      </c>
      <c r="B9" s="21" t="s">
        <v>56</v>
      </c>
      <c r="C9" s="1198">
        <v>22.709487019359916</v>
      </c>
      <c r="D9" s="1198">
        <v>21.514962867974717</v>
      </c>
      <c r="E9" s="1198">
        <v>23.877538104448742</v>
      </c>
      <c r="F9" s="1198">
        <v>20.809017874139474</v>
      </c>
      <c r="G9" s="1198">
        <v>19.377346912156241</v>
      </c>
      <c r="H9" s="1198">
        <v>18.449861131799665</v>
      </c>
      <c r="I9" s="1198">
        <v>15.467509581377733</v>
      </c>
      <c r="J9" s="1198">
        <v>15.562511247203927</v>
      </c>
      <c r="K9" s="1198">
        <v>19.218015428033866</v>
      </c>
      <c r="L9" s="1198">
        <v>20.718377031528085</v>
      </c>
      <c r="M9" s="1198">
        <v>23.196336609934441</v>
      </c>
      <c r="N9" s="353">
        <v>27.591806526670474</v>
      </c>
      <c r="O9" s="353">
        <v>88.512248372472527</v>
      </c>
      <c r="P9" s="353">
        <v>62.292545639485461</v>
      </c>
      <c r="Q9" s="353">
        <v>38.950324805019761</v>
      </c>
      <c r="R9" s="353">
        <v>34.512047738680643</v>
      </c>
      <c r="S9" s="353">
        <v>35.230787546332657</v>
      </c>
      <c r="T9" s="353">
        <v>36.739025015110855</v>
      </c>
      <c r="U9" s="353">
        <v>34.373506688406778</v>
      </c>
      <c r="V9" s="353">
        <v>32.02886278023287</v>
      </c>
      <c r="W9" s="353">
        <v>37.489803725417538</v>
      </c>
      <c r="X9" s="353">
        <v>38.710364732442635</v>
      </c>
      <c r="Y9" s="353">
        <v>46.716601415797001</v>
      </c>
      <c r="Z9" s="353">
        <v>45.874240457810352</v>
      </c>
      <c r="AA9" s="353">
        <v>43.306501539571343</v>
      </c>
      <c r="AB9" s="353">
        <v>46.326121081640146</v>
      </c>
      <c r="AC9" s="353">
        <v>49.151139603091472</v>
      </c>
      <c r="AD9" s="353">
        <v>54.308310707359396</v>
      </c>
      <c r="AE9" s="353">
        <v>56.124332073825002</v>
      </c>
      <c r="AF9" s="353">
        <v>54.375465207014031</v>
      </c>
    </row>
    <row r="10" spans="1:32">
      <c r="A10" s="21">
        <v>615</v>
      </c>
      <c r="B10" s="21" t="s">
        <v>129</v>
      </c>
      <c r="C10" s="1199">
        <v>30.338461676513699</v>
      </c>
      <c r="D10" s="1199">
        <v>30.877742832663461</v>
      </c>
      <c r="E10" s="1199">
        <v>28.998074958854538</v>
      </c>
      <c r="F10" s="1199">
        <v>25.802311230660642</v>
      </c>
      <c r="G10" s="1199">
        <v>27.466367493360682</v>
      </c>
      <c r="H10" s="1199">
        <v>26.742187734644684</v>
      </c>
      <c r="I10" s="1199">
        <v>23.171953218895155</v>
      </c>
      <c r="J10" s="1199">
        <v>18.412109734839358</v>
      </c>
      <c r="K10" s="1199">
        <v>22.603719388173179</v>
      </c>
      <c r="L10" s="1199">
        <v>28.514056372570838</v>
      </c>
      <c r="M10" s="1199">
        <v>24.937028606263418</v>
      </c>
      <c r="N10" s="354">
        <v>23.599764536013254</v>
      </c>
      <c r="O10" s="354">
        <v>23.869489953991629</v>
      </c>
      <c r="P10" s="354">
        <v>23.138936376571881</v>
      </c>
      <c r="Q10" s="354">
        <v>26.053712540782591</v>
      </c>
      <c r="R10" s="354">
        <v>28.996229227317205</v>
      </c>
      <c r="S10" s="354">
        <v>23.944699550336342</v>
      </c>
      <c r="T10" s="354">
        <v>21.337600127328706</v>
      </c>
      <c r="U10" s="354">
        <v>22.516096548636575</v>
      </c>
      <c r="V10" s="354">
        <v>23.68391280874798</v>
      </c>
      <c r="W10" s="354">
        <v>21.354238716269343</v>
      </c>
      <c r="X10" s="354">
        <v>21.601642755952476</v>
      </c>
      <c r="Y10" s="354">
        <v>25.399971260516956</v>
      </c>
      <c r="Z10" s="354">
        <v>23.87427913260375</v>
      </c>
      <c r="AA10" s="354">
        <v>25.652123145166598</v>
      </c>
      <c r="AB10" s="354">
        <v>24.269902653687158</v>
      </c>
      <c r="AC10" s="354">
        <v>21.516682330827066</v>
      </c>
      <c r="AD10" s="354">
        <v>23.293057459538154</v>
      </c>
      <c r="AE10" s="354">
        <v>22.908629901294937</v>
      </c>
      <c r="AF10" s="354">
        <v>36.116967847854298</v>
      </c>
    </row>
    <row r="11" spans="1:32">
      <c r="A11" s="21">
        <v>232</v>
      </c>
      <c r="B11" s="21" t="s">
        <v>45</v>
      </c>
    </row>
    <row r="12" spans="1:32">
      <c r="A12" s="21">
        <v>540</v>
      </c>
      <c r="B12" s="21" t="s">
        <v>114</v>
      </c>
      <c r="C12" s="1200"/>
      <c r="D12" s="1200"/>
      <c r="E12" s="1200"/>
      <c r="F12" s="1200"/>
      <c r="G12" s="1200"/>
      <c r="H12" s="1200">
        <v>25.337001401805342</v>
      </c>
      <c r="I12" s="1200">
        <v>32.129652401128652</v>
      </c>
      <c r="J12" s="1200">
        <v>29.288872031613483</v>
      </c>
      <c r="K12" s="1200">
        <v>22.135024413077446</v>
      </c>
      <c r="L12" s="1200">
        <v>19.191808096422484</v>
      </c>
      <c r="M12" s="1200">
        <v>20.928455245920052</v>
      </c>
      <c r="N12" s="355">
        <v>27.053171085490309</v>
      </c>
      <c r="O12" s="355">
        <v>70.73005573813127</v>
      </c>
      <c r="P12" s="355">
        <v>55.156370063733341</v>
      </c>
      <c r="Q12" s="355">
        <v>75.850197757904013</v>
      </c>
      <c r="R12" s="355"/>
      <c r="S12" s="355">
        <v>68.299970937039561</v>
      </c>
      <c r="T12" s="355">
        <v>67.785215965429543</v>
      </c>
      <c r="U12" s="355">
        <v>73.142892422360845</v>
      </c>
      <c r="V12" s="355">
        <v>92.699022338908037</v>
      </c>
      <c r="W12" s="355">
        <v>62.827757705888331</v>
      </c>
      <c r="X12" s="355">
        <v>74.944381563152817</v>
      </c>
      <c r="Y12" s="355">
        <v>62.197791637721402</v>
      </c>
      <c r="Z12" s="355">
        <v>63.063101359322516</v>
      </c>
      <c r="AA12" s="355">
        <v>53.710949762629703</v>
      </c>
      <c r="AB12" s="355">
        <v>49.439106037767203</v>
      </c>
      <c r="AC12" s="355">
        <v>36.063308020166723</v>
      </c>
      <c r="AD12" s="355">
        <v>44.384934015756535</v>
      </c>
      <c r="AE12" s="355">
        <v>51.225794727072838</v>
      </c>
      <c r="AF12" s="355">
        <v>46.230688569072768</v>
      </c>
    </row>
    <row r="13" spans="1:32">
      <c r="A13" s="21">
        <v>160</v>
      </c>
      <c r="B13" s="21" t="s">
        <v>33</v>
      </c>
      <c r="C13" s="1202">
        <v>6.4836997794953151</v>
      </c>
      <c r="D13" s="1202">
        <v>7.371927998585778</v>
      </c>
      <c r="E13" s="1202">
        <v>6.5209930213934326</v>
      </c>
      <c r="F13" s="1202">
        <v>5.8361494200383595</v>
      </c>
      <c r="G13" s="1202">
        <v>4.7564861174328632</v>
      </c>
      <c r="H13" s="1202">
        <v>6.2733270499528748</v>
      </c>
      <c r="I13" s="1202">
        <v>6.3240552478440719</v>
      </c>
      <c r="J13" s="1202">
        <v>7.5757640695516519</v>
      </c>
      <c r="K13" s="1202">
        <v>6.2118456357710103</v>
      </c>
      <c r="L13" s="1202">
        <v>6.5793887933197137</v>
      </c>
      <c r="M13" s="1202">
        <v>4.6313224074177528</v>
      </c>
      <c r="N13" s="357">
        <v>6.0780108218917288</v>
      </c>
      <c r="O13" s="357">
        <v>8.1327931134544151</v>
      </c>
      <c r="P13" s="357">
        <v>9.3137998594815787</v>
      </c>
      <c r="Q13" s="357">
        <v>10.600048507950925</v>
      </c>
      <c r="R13" s="357">
        <v>10.075305657191535</v>
      </c>
      <c r="S13" s="357">
        <v>11.068684901536075</v>
      </c>
      <c r="T13" s="357">
        <v>12.77267049360526</v>
      </c>
      <c r="U13" s="357">
        <v>12.931598411957236</v>
      </c>
      <c r="V13" s="357">
        <v>11.53408993721537</v>
      </c>
      <c r="W13" s="357">
        <v>11.519270979256815</v>
      </c>
      <c r="X13" s="357">
        <v>10.210173100569966</v>
      </c>
      <c r="Y13" s="357">
        <v>12.800013711857474</v>
      </c>
      <c r="Z13" s="357">
        <v>14.201606489907507</v>
      </c>
      <c r="AA13" s="357">
        <v>18.167248164170786</v>
      </c>
      <c r="AB13" s="357">
        <v>19.188720215395367</v>
      </c>
      <c r="AC13" s="357">
        <v>19.232168197499433</v>
      </c>
      <c r="AD13" s="357">
        <v>20.337125984274191</v>
      </c>
      <c r="AE13" s="357">
        <v>20.650425443585281</v>
      </c>
      <c r="AF13" s="357">
        <v>16.00235092678609</v>
      </c>
    </row>
    <row r="14" spans="1:32">
      <c r="A14" s="21">
        <v>371</v>
      </c>
      <c r="B14" s="21" t="s">
        <v>73</v>
      </c>
      <c r="C14" s="1203"/>
      <c r="D14" s="1203"/>
      <c r="E14" s="1203"/>
      <c r="F14" s="1203"/>
      <c r="G14" s="1203"/>
      <c r="H14" s="1203"/>
      <c r="I14" s="1203"/>
      <c r="J14" s="1203"/>
      <c r="K14" s="1203"/>
      <c r="L14" s="1203"/>
      <c r="M14" s="1203">
        <v>46.332737030411444</v>
      </c>
      <c r="N14" s="358">
        <v>60.12046680888443</v>
      </c>
      <c r="O14" s="358">
        <v>61.256001224746058</v>
      </c>
      <c r="P14" s="358">
        <v>60.754171399192295</v>
      </c>
      <c r="Q14" s="358">
        <v>73.100790870749591</v>
      </c>
      <c r="R14" s="358">
        <v>62.186933507541852</v>
      </c>
      <c r="S14" s="358">
        <v>55.989558786783832</v>
      </c>
      <c r="T14" s="358">
        <v>58.274474630776155</v>
      </c>
      <c r="U14" s="358">
        <v>52.839432630690951</v>
      </c>
      <c r="V14" s="358">
        <v>49.802159592412522</v>
      </c>
      <c r="W14" s="358">
        <v>50.543115117900697</v>
      </c>
      <c r="X14" s="358">
        <v>46.146556850173411</v>
      </c>
      <c r="Y14" s="358">
        <v>46.586864960204309</v>
      </c>
      <c r="Z14" s="358">
        <v>50.035001542185242</v>
      </c>
      <c r="AA14" s="358">
        <v>42.127484360925635</v>
      </c>
      <c r="AB14" s="358">
        <v>43.229705152868348</v>
      </c>
      <c r="AC14" s="358">
        <v>39.250207195284013</v>
      </c>
      <c r="AD14" s="358">
        <v>39.150814436071393</v>
      </c>
      <c r="AE14" s="358">
        <v>39.787320809433332</v>
      </c>
      <c r="AF14" s="358">
        <v>36.450595368387013</v>
      </c>
    </row>
    <row r="15" spans="1:32">
      <c r="A15" s="21">
        <v>900</v>
      </c>
      <c r="B15" s="21" t="s">
        <v>177</v>
      </c>
      <c r="C15" s="1204">
        <v>15.845944667770159</v>
      </c>
      <c r="D15" s="1204">
        <v>16.652425461969461</v>
      </c>
      <c r="E15" s="1204">
        <v>16.773077118830972</v>
      </c>
      <c r="F15" s="1204">
        <v>15.581653072264794</v>
      </c>
      <c r="G15" s="1204">
        <v>14.969165250983222</v>
      </c>
      <c r="H15" s="1204">
        <v>17.22005277044855</v>
      </c>
      <c r="I15" s="1204">
        <v>18.004577531947358</v>
      </c>
      <c r="J15" s="1204">
        <v>17.037837537311098</v>
      </c>
      <c r="K15" s="1204">
        <v>16.483131307281777</v>
      </c>
      <c r="L15" s="1204">
        <v>16.804691588482516</v>
      </c>
      <c r="M15" s="1204">
        <v>16.826067914963165</v>
      </c>
      <c r="N15" s="359">
        <v>15.924492577466228</v>
      </c>
      <c r="O15" s="359">
        <v>16.17039281139256</v>
      </c>
      <c r="P15" s="359">
        <v>17.621844772609865</v>
      </c>
      <c r="Q15" s="359">
        <v>18.115292617145375</v>
      </c>
      <c r="R15" s="359">
        <v>19.587622677751433</v>
      </c>
      <c r="S15" s="359">
        <v>19.060570461914384</v>
      </c>
      <c r="T15" s="359">
        <v>18.597432321281694</v>
      </c>
      <c r="U15" s="359">
        <v>20.15945522844768</v>
      </c>
      <c r="V15" s="359">
        <v>20.478564947526479</v>
      </c>
      <c r="W15" s="359">
        <v>21.297790069396431</v>
      </c>
      <c r="X15" s="359">
        <v>21.769980913796093</v>
      </c>
      <c r="Y15" s="359">
        <v>20.426393959989671</v>
      </c>
      <c r="Z15" s="359">
        <v>20.853323321245064</v>
      </c>
      <c r="AA15" s="359">
        <v>19.505523408732245</v>
      </c>
      <c r="AB15" s="359">
        <v>20.541677827413096</v>
      </c>
      <c r="AC15" s="359">
        <v>21.062823557859964</v>
      </c>
      <c r="AD15" s="359">
        <v>20.933414091285197</v>
      </c>
      <c r="AE15" s="359">
        <v>21.607192722657075</v>
      </c>
      <c r="AF15" s="359"/>
    </row>
    <row r="16" spans="1:32">
      <c r="A16" s="21">
        <v>305</v>
      </c>
      <c r="B16" s="21" t="s">
        <v>49</v>
      </c>
      <c r="C16" s="1205">
        <v>36.09500062079195</v>
      </c>
      <c r="D16" s="1205">
        <v>36.37755132241525</v>
      </c>
      <c r="E16" s="1205">
        <v>33.30035645521933</v>
      </c>
      <c r="F16" s="1205">
        <v>32.919044029552992</v>
      </c>
      <c r="G16" s="1205">
        <v>34.79857525882769</v>
      </c>
      <c r="H16" s="1205">
        <v>36.181177082534902</v>
      </c>
      <c r="I16" s="1205">
        <v>32.934324264409746</v>
      </c>
      <c r="J16" s="1205">
        <v>32.359462219397784</v>
      </c>
      <c r="K16" s="1205">
        <v>34.468041624526037</v>
      </c>
      <c r="L16" s="1205">
        <v>36.561109200942546</v>
      </c>
      <c r="M16" s="1205">
        <v>36.865057334617234</v>
      </c>
      <c r="N16" s="360">
        <v>36.509303515760429</v>
      </c>
      <c r="O16" s="360">
        <v>35.525529499555859</v>
      </c>
      <c r="P16" s="360">
        <v>32.797657150840465</v>
      </c>
      <c r="Q16" s="360">
        <v>34.907182555992286</v>
      </c>
      <c r="R16" s="360">
        <v>35.823060868385163</v>
      </c>
      <c r="S16" s="360">
        <v>37.125805777406327</v>
      </c>
      <c r="T16" s="360">
        <v>39.942331130689659</v>
      </c>
      <c r="U16" s="360">
        <v>40.538275915797527</v>
      </c>
      <c r="V16" s="360">
        <v>41.143329118954199</v>
      </c>
      <c r="W16" s="360">
        <v>44.664636632038089</v>
      </c>
      <c r="X16" s="360">
        <v>46.251360603549031</v>
      </c>
      <c r="Y16" s="360">
        <v>44.261957434211006</v>
      </c>
      <c r="Z16" s="360">
        <v>45.088015067500372</v>
      </c>
      <c r="AA16" s="360">
        <v>48.1007377626281</v>
      </c>
      <c r="AB16" s="360">
        <v>50.194178051521213</v>
      </c>
      <c r="AC16" s="360">
        <v>51.716852400876725</v>
      </c>
      <c r="AD16" s="360">
        <v>53.56317733081297</v>
      </c>
      <c r="AE16" s="360">
        <v>53.40566200034386</v>
      </c>
      <c r="AF16" s="360">
        <v>45.992566701030732</v>
      </c>
    </row>
    <row r="17" spans="1:32">
      <c r="A17" s="21">
        <v>373</v>
      </c>
      <c r="B17" s="21" t="s">
        <v>75</v>
      </c>
      <c r="C17" s="1206"/>
      <c r="D17" s="1206"/>
      <c r="E17" s="1206"/>
      <c r="F17" s="1206"/>
      <c r="G17" s="1206"/>
      <c r="H17" s="1206"/>
      <c r="I17" s="1206"/>
      <c r="J17" s="1206"/>
      <c r="K17" s="1206"/>
      <c r="L17" s="1206"/>
      <c r="M17" s="1206">
        <v>39.236016371077767</v>
      </c>
      <c r="N17" s="361">
        <v>41.201347305389227</v>
      </c>
      <c r="O17" s="361">
        <v>54.596792597663949</v>
      </c>
      <c r="P17" s="361">
        <v>75.988337301536774</v>
      </c>
      <c r="Q17" s="361">
        <v>30.630046412590922</v>
      </c>
      <c r="R17" s="361">
        <v>41.510023963168344</v>
      </c>
      <c r="S17" s="361">
        <v>55.547658015691781</v>
      </c>
      <c r="T17" s="361">
        <v>53.024367503831208</v>
      </c>
      <c r="U17" s="361">
        <v>54.531262652318105</v>
      </c>
      <c r="V17" s="361">
        <v>41.87764344773268</v>
      </c>
      <c r="W17" s="361">
        <v>38.378094308037127</v>
      </c>
      <c r="X17" s="361">
        <v>37.317930316740657</v>
      </c>
      <c r="Y17" s="361">
        <v>50.048933806740081</v>
      </c>
      <c r="Z17" s="361">
        <v>65.550510857821394</v>
      </c>
      <c r="AA17" s="361">
        <v>72.715884261989629</v>
      </c>
      <c r="AB17" s="361">
        <v>52.897014749450989</v>
      </c>
      <c r="AC17" s="361">
        <v>38.759385668478409</v>
      </c>
      <c r="AD17" s="361">
        <v>28.513699011389082</v>
      </c>
      <c r="AE17" s="361">
        <v>24.783469210802593</v>
      </c>
      <c r="AF17" s="361">
        <v>24.773940372122162</v>
      </c>
    </row>
    <row r="18" spans="1:32">
      <c r="A18" s="21">
        <v>692</v>
      </c>
      <c r="B18" s="21" t="s">
        <v>144</v>
      </c>
      <c r="C18" s="1208">
        <v>115.24047775468034</v>
      </c>
      <c r="D18" s="1208">
        <v>120.00920021451461</v>
      </c>
      <c r="E18" s="1208">
        <v>106.77706215348701</v>
      </c>
      <c r="F18" s="1208">
        <v>92.950730845912844</v>
      </c>
      <c r="G18" s="1208">
        <v>93.844058429015902</v>
      </c>
      <c r="H18" s="1208">
        <v>89.840504788510557</v>
      </c>
      <c r="I18" s="1208">
        <v>84.813106834555569</v>
      </c>
      <c r="J18" s="1208">
        <v>87.400038257489769</v>
      </c>
      <c r="K18" s="1208">
        <v>77.494434652555071</v>
      </c>
      <c r="L18" s="1208">
        <v>87.629924138392255</v>
      </c>
      <c r="M18" s="1208">
        <v>94.605134808853123</v>
      </c>
      <c r="N18" s="363">
        <v>95.638648994893572</v>
      </c>
      <c r="O18" s="363">
        <v>96.742047469771606</v>
      </c>
      <c r="P18" s="363">
        <v>80.729299536305206</v>
      </c>
      <c r="Q18" s="363">
        <v>73.984902677446371</v>
      </c>
      <c r="R18" s="363">
        <v>70.473767623134094</v>
      </c>
      <c r="S18" s="363">
        <v>76.201896227774071</v>
      </c>
      <c r="T18" s="363">
        <v>69.5052947377756</v>
      </c>
      <c r="U18" s="363">
        <v>63.885426156150857</v>
      </c>
      <c r="V18" s="363">
        <v>62.964453120942963</v>
      </c>
      <c r="W18" s="363">
        <v>64.389867469242461</v>
      </c>
      <c r="X18" s="363">
        <v>60.472293036361201</v>
      </c>
      <c r="Y18" s="363">
        <v>66.237549332832174</v>
      </c>
      <c r="Z18" s="363">
        <v>63.658935879945432</v>
      </c>
      <c r="AA18" s="363">
        <v>72.721032074801755</v>
      </c>
      <c r="AB18" s="363">
        <v>76.427117706336816</v>
      </c>
      <c r="AC18" s="363">
        <v>72.906916276651074</v>
      </c>
      <c r="AD18" s="363">
        <v>68.35164202312221</v>
      </c>
      <c r="AE18" s="363">
        <v>74.312115987080162</v>
      </c>
      <c r="AF18" s="363"/>
    </row>
    <row r="19" spans="1:32">
      <c r="A19" s="21">
        <v>53</v>
      </c>
      <c r="B19" s="21" t="s">
        <v>8</v>
      </c>
      <c r="C19" s="1210">
        <v>72.044380187988281</v>
      </c>
      <c r="D19" s="1210">
        <v>69.032867431640625</v>
      </c>
      <c r="E19" s="1210">
        <v>66.467338562011719</v>
      </c>
      <c r="F19" s="1210">
        <v>69.367660522460938</v>
      </c>
      <c r="G19" s="1210">
        <v>67.183433532714844</v>
      </c>
      <c r="H19" s="1210">
        <v>60.068881988525391</v>
      </c>
      <c r="I19" s="1210">
        <v>54.221466064453125</v>
      </c>
      <c r="J19" s="1210">
        <v>45.461097717285156</v>
      </c>
      <c r="K19" s="1210">
        <v>48.241481781005859</v>
      </c>
      <c r="L19" s="1210">
        <v>50.339939117431641</v>
      </c>
      <c r="M19" s="1210">
        <v>51.726646423339844</v>
      </c>
      <c r="N19" s="365">
        <v>50.135555267333984</v>
      </c>
      <c r="O19" s="365">
        <v>46.238590240478516</v>
      </c>
      <c r="P19" s="365">
        <v>51.560134887695312</v>
      </c>
      <c r="Q19" s="365">
        <v>49.732248061592713</v>
      </c>
      <c r="R19" s="365">
        <v>56.248493407895758</v>
      </c>
      <c r="S19" s="365">
        <v>56.672182244375826</v>
      </c>
      <c r="T19" s="365">
        <v>58.836600654528603</v>
      </c>
      <c r="U19" s="365">
        <v>55.090625441397869</v>
      </c>
      <c r="V19" s="365">
        <v>56.86144123555691</v>
      </c>
      <c r="W19" s="365">
        <v>57.041247928569518</v>
      </c>
      <c r="X19" s="365">
        <v>55.232836366479134</v>
      </c>
      <c r="Y19" s="365">
        <v>56.768575338361437</v>
      </c>
      <c r="Z19" s="365">
        <v>57.386605789891064</v>
      </c>
      <c r="AA19" s="365">
        <v>63.241855524079313</v>
      </c>
      <c r="AB19" s="365">
        <v>69.34497816593894</v>
      </c>
      <c r="AC19" s="365">
        <v>64.376475388336729</v>
      </c>
      <c r="AD19" s="365">
        <v>63.894486182689633</v>
      </c>
      <c r="AE19" s="365">
        <v>64.194822888283369</v>
      </c>
      <c r="AF19" s="365">
        <v>64.588317107093189</v>
      </c>
    </row>
    <row r="20" spans="1:32">
      <c r="A20" s="21">
        <v>211</v>
      </c>
      <c r="B20" s="21" t="s">
        <v>38</v>
      </c>
      <c r="C20" s="1212">
        <v>57.871090751735821</v>
      </c>
      <c r="D20" s="1212">
        <v>61.390770683895866</v>
      </c>
      <c r="E20" s="1212">
        <v>65.396418301264532</v>
      </c>
      <c r="F20" s="1212">
        <v>65.590894751368992</v>
      </c>
      <c r="G20" s="1212">
        <v>69.765155217491142</v>
      </c>
      <c r="H20" s="1212">
        <v>67.146189614388746</v>
      </c>
      <c r="I20" s="1212">
        <v>60.173122947783952</v>
      </c>
      <c r="J20" s="1212">
        <v>59.087988803538153</v>
      </c>
      <c r="K20" s="1212">
        <v>62.327664540069946</v>
      </c>
      <c r="L20" s="1212">
        <v>67.088825270710416</v>
      </c>
      <c r="M20" s="1212">
        <v>65.431534490693167</v>
      </c>
      <c r="N20" s="367">
        <v>63.798672430116845</v>
      </c>
      <c r="O20" s="367">
        <v>61.502851269541182</v>
      </c>
      <c r="P20" s="367">
        <v>57.834828318597218</v>
      </c>
      <c r="Q20" s="367">
        <v>59.91443860304787</v>
      </c>
      <c r="R20" s="367">
        <v>61.507047883227152</v>
      </c>
      <c r="S20" s="367">
        <v>62.56439367061661</v>
      </c>
      <c r="T20" s="367">
        <v>66.111517979041778</v>
      </c>
      <c r="U20" s="367">
        <v>65.986764769907268</v>
      </c>
      <c r="V20" s="367">
        <v>65.880311356462911</v>
      </c>
      <c r="W20" s="367">
        <v>75.311241158372184</v>
      </c>
      <c r="X20" s="367">
        <v>74.313213816283977</v>
      </c>
      <c r="Y20" s="367">
        <v>71.208099725635222</v>
      </c>
      <c r="Z20" s="367">
        <v>69.008327409363261</v>
      </c>
      <c r="AA20" s="367">
        <v>71.78646952634746</v>
      </c>
      <c r="AB20" s="367">
        <v>76.247255196552686</v>
      </c>
      <c r="AC20" s="367">
        <v>78.497564042118498</v>
      </c>
      <c r="AD20" s="367">
        <v>79.541608845516805</v>
      </c>
      <c r="AE20" s="367">
        <v>84.833597096862079</v>
      </c>
      <c r="AF20" s="367">
        <v>70.223963769526065</v>
      </c>
    </row>
    <row r="21" spans="1:32">
      <c r="A21" s="21">
        <v>434</v>
      </c>
      <c r="B21" s="21" t="s">
        <v>88</v>
      </c>
      <c r="C21" s="1214">
        <v>37.32210671604917</v>
      </c>
      <c r="D21" s="1214">
        <v>43.958871643756609</v>
      </c>
      <c r="E21" s="1214">
        <v>40.086299554422844</v>
      </c>
      <c r="F21" s="1214">
        <v>31.57772268992467</v>
      </c>
      <c r="G21" s="1214">
        <v>30.931928173801527</v>
      </c>
      <c r="H21" s="1214">
        <v>36.648599628420108</v>
      </c>
      <c r="I21" s="1214">
        <v>32.615496749261567</v>
      </c>
      <c r="J21" s="1214">
        <v>30.950607104936918</v>
      </c>
      <c r="K21" s="1214">
        <v>32.08308880610894</v>
      </c>
      <c r="L21" s="1214">
        <v>24.804938374926106</v>
      </c>
      <c r="M21" s="1214">
        <v>26.328698520788684</v>
      </c>
      <c r="N21" s="369">
        <v>28.099081485821465</v>
      </c>
      <c r="O21" s="369">
        <v>28.551689810390357</v>
      </c>
      <c r="P21" s="369">
        <v>28.068935583386672</v>
      </c>
      <c r="Q21" s="369">
        <v>29.939805833970844</v>
      </c>
      <c r="R21" s="369">
        <v>33.048401241054108</v>
      </c>
      <c r="S21" s="369">
        <v>29.523948633715552</v>
      </c>
      <c r="T21" s="369">
        <v>28.875974763346502</v>
      </c>
      <c r="U21" s="369">
        <v>27.499131122635234</v>
      </c>
      <c r="V21" s="369">
        <v>28.827790171017796</v>
      </c>
      <c r="W21" s="369">
        <v>28.1176035231213</v>
      </c>
      <c r="X21" s="369">
        <v>27.895783652955746</v>
      </c>
      <c r="Y21" s="369">
        <v>27.485051361987018</v>
      </c>
      <c r="Z21" s="369">
        <v>26.524493447458774</v>
      </c>
      <c r="AA21" s="369">
        <v>26.059302216817887</v>
      </c>
      <c r="AB21" s="369">
        <v>26.110988282113638</v>
      </c>
      <c r="AC21" s="369">
        <v>22.695694321027545</v>
      </c>
      <c r="AD21" s="369">
        <v>31.552612768518866</v>
      </c>
      <c r="AE21" s="369">
        <v>28.847824634097442</v>
      </c>
      <c r="AF21" s="369">
        <v>28.173226843160336</v>
      </c>
    </row>
    <row r="22" spans="1:32">
      <c r="A22" s="21">
        <v>439</v>
      </c>
      <c r="B22" s="21" t="s">
        <v>93</v>
      </c>
      <c r="C22" s="1221">
        <v>31.262507654260229</v>
      </c>
      <c r="D22" s="1221">
        <v>31.435113648517198</v>
      </c>
      <c r="E22" s="1221">
        <v>31.62403531548712</v>
      </c>
      <c r="F22" s="1221">
        <v>29.574147849702147</v>
      </c>
      <c r="G22" s="1221">
        <v>28.757792042613417</v>
      </c>
      <c r="H22" s="1221">
        <v>31.026082282962019</v>
      </c>
      <c r="I22" s="1221">
        <v>28.971166288670563</v>
      </c>
      <c r="J22" s="1221">
        <v>28.081129528878655</v>
      </c>
      <c r="K22" s="1221">
        <v>27.130982088314209</v>
      </c>
      <c r="L22" s="1221">
        <v>23.645897354232634</v>
      </c>
      <c r="M22" s="1221">
        <v>24.455959031801893</v>
      </c>
      <c r="N22" s="377">
        <v>23.348687987712324</v>
      </c>
      <c r="O22" s="377">
        <v>19.527536009103898</v>
      </c>
      <c r="P22" s="377">
        <v>20.673540676034474</v>
      </c>
      <c r="Q22" s="377">
        <v>25.027601090180003</v>
      </c>
      <c r="R22" s="377">
        <v>26.606914875948512</v>
      </c>
      <c r="S22" s="377">
        <v>27.616692559327845</v>
      </c>
      <c r="T22" s="377">
        <v>26.603887783545382</v>
      </c>
      <c r="U22" s="377">
        <v>28.131680554020878</v>
      </c>
      <c r="V22" s="377">
        <v>24.00633247711605</v>
      </c>
      <c r="W22" s="377">
        <v>25.187782996537866</v>
      </c>
      <c r="X22" s="377">
        <v>23.125827017235522</v>
      </c>
      <c r="Y22" s="377">
        <v>21.176827687874813</v>
      </c>
      <c r="Z22" s="377">
        <v>21.724505990305541</v>
      </c>
      <c r="AA22" s="377">
        <v>24.276998370801785</v>
      </c>
      <c r="AB22" s="377">
        <v>25.61726649713567</v>
      </c>
      <c r="AC22" s="377">
        <v>26.807720469496637</v>
      </c>
      <c r="AD22" s="377"/>
      <c r="AE22" s="377"/>
      <c r="AF22" s="377"/>
    </row>
    <row r="23" spans="1:32">
      <c r="A23" s="21">
        <v>31</v>
      </c>
      <c r="B23" s="21" t="s">
        <v>2</v>
      </c>
      <c r="C23" s="1207">
        <v>62.877257554161794</v>
      </c>
      <c r="D23" s="1207">
        <v>62.369434837589843</v>
      </c>
      <c r="E23" s="1207">
        <v>59.551416900687236</v>
      </c>
      <c r="F23" s="1207">
        <v>58.015926131117268</v>
      </c>
      <c r="G23" s="1207">
        <v>58.306792873540068</v>
      </c>
      <c r="H23" s="1207">
        <v>59.270913470077005</v>
      </c>
      <c r="I23" s="1207">
        <v>57.904953954684949</v>
      </c>
      <c r="J23" s="1207">
        <v>55.803243899342384</v>
      </c>
      <c r="K23" s="1207"/>
      <c r="L23" s="1207">
        <v>57.168843892880474</v>
      </c>
      <c r="M23" s="1207">
        <v>55.959254579911558</v>
      </c>
      <c r="N23" s="362">
        <v>55.1675259388781</v>
      </c>
      <c r="O23" s="362">
        <v>51.214538436796396</v>
      </c>
      <c r="P23" s="362">
        <v>51.393272962483827</v>
      </c>
      <c r="Q23" s="362">
        <v>53.380484811291808</v>
      </c>
      <c r="R23" s="362">
        <v>54.916302128900554</v>
      </c>
      <c r="S23" s="362">
        <v>57.819063452479909</v>
      </c>
      <c r="T23" s="362">
        <v>55.064017140223697</v>
      </c>
      <c r="U23" s="362">
        <v>53.263565527204037</v>
      </c>
      <c r="V23" s="362">
        <v>49.958071491604649</v>
      </c>
      <c r="W23" s="362">
        <v>51.850769047695856</v>
      </c>
      <c r="X23" s="362">
        <v>48.191454042366182</v>
      </c>
      <c r="Y23" s="362">
        <v>43.706197543206223</v>
      </c>
      <c r="Z23" s="362">
        <v>45.592180455907766</v>
      </c>
      <c r="AA23" s="362">
        <v>49.188415209900214</v>
      </c>
      <c r="AB23" s="362">
        <v>56.186383260569286</v>
      </c>
      <c r="AC23" s="362">
        <v>66.770003490571128</v>
      </c>
      <c r="AD23" s="362">
        <v>68.12504245181529</v>
      </c>
      <c r="AE23" s="362"/>
      <c r="AF23" s="362"/>
    </row>
    <row r="24" spans="1:32">
      <c r="A24" s="21">
        <v>760</v>
      </c>
      <c r="B24" s="21" t="s">
        <v>161</v>
      </c>
      <c r="C24" s="1215"/>
      <c r="D24" s="1215">
        <v>51.241374890718873</v>
      </c>
      <c r="E24" s="1215">
        <v>49.213041458936161</v>
      </c>
      <c r="F24" s="1215">
        <v>48.662387773056082</v>
      </c>
      <c r="G24" s="1215">
        <v>47.359113796211346</v>
      </c>
      <c r="H24" s="1215">
        <v>52.747953151303449</v>
      </c>
      <c r="I24" s="1215">
        <v>55.933728418359408</v>
      </c>
      <c r="J24" s="1215">
        <v>42.187035899233763</v>
      </c>
      <c r="K24" s="1215">
        <v>53.252304613475651</v>
      </c>
      <c r="L24" s="1215">
        <v>40.082601202367854</v>
      </c>
      <c r="M24" s="1215">
        <v>32.668633369422373</v>
      </c>
      <c r="N24" s="370">
        <v>41.190795758609305</v>
      </c>
      <c r="O24" s="370">
        <v>58.831052437192568</v>
      </c>
      <c r="P24" s="370">
        <v>45.640368111533661</v>
      </c>
      <c r="Q24" s="370">
        <v>42.161174373021687</v>
      </c>
      <c r="R24" s="370">
        <v>45.09601061350984</v>
      </c>
      <c r="S24" s="370">
        <v>48.013231017888486</v>
      </c>
      <c r="T24" s="370">
        <v>49.222991866167426</v>
      </c>
      <c r="U24" s="370">
        <v>52.368679162519506</v>
      </c>
      <c r="V24" s="370">
        <v>53.55657284730124</v>
      </c>
      <c r="W24" s="370">
        <v>51.329965751886199</v>
      </c>
      <c r="X24" s="370">
        <v>49.242519325609102</v>
      </c>
      <c r="Y24" s="370">
        <v>45.167693311109467</v>
      </c>
      <c r="Z24" s="370">
        <v>42.95312006891465</v>
      </c>
      <c r="AA24" s="370">
        <v>49.869252225844818</v>
      </c>
      <c r="AB24" s="370">
        <v>57.848188425001837</v>
      </c>
      <c r="AC24" s="370">
        <v>59.660278240183338</v>
      </c>
      <c r="AD24" s="370">
        <v>53.842203667832912</v>
      </c>
      <c r="AE24" s="370">
        <v>51.87579151852055</v>
      </c>
      <c r="AF24" s="370">
        <v>48.3259570032616</v>
      </c>
    </row>
    <row r="25" spans="1:32">
      <c r="A25" s="21">
        <v>370</v>
      </c>
      <c r="B25" s="21" t="s">
        <v>72</v>
      </c>
      <c r="C25" s="1211"/>
      <c r="D25" s="1211"/>
      <c r="E25" s="1211"/>
      <c r="F25" s="1211"/>
      <c r="G25" s="1211"/>
      <c r="H25" s="1211"/>
      <c r="I25" s="1211"/>
      <c r="J25" s="1211"/>
      <c r="K25" s="1211"/>
      <c r="L25" s="1211"/>
      <c r="M25" s="1211">
        <v>43.648960739030024</v>
      </c>
      <c r="N25" s="366">
        <v>33.40987370838117</v>
      </c>
      <c r="O25" s="366">
        <v>57.836668469442941</v>
      </c>
      <c r="P25" s="366">
        <v>83.366824990865908</v>
      </c>
      <c r="Q25" s="366">
        <v>84.104601757974962</v>
      </c>
      <c r="R25" s="366">
        <v>54.053537568388151</v>
      </c>
      <c r="S25" s="366">
        <v>50.424887092940338</v>
      </c>
      <c r="T25" s="366">
        <v>65.656335180782605</v>
      </c>
      <c r="U25" s="366">
        <v>63.906616302156309</v>
      </c>
      <c r="V25" s="366">
        <v>61.631769351054963</v>
      </c>
      <c r="W25" s="366">
        <v>72.398344610129399</v>
      </c>
      <c r="X25" s="366">
        <v>70.297323736985533</v>
      </c>
      <c r="Y25" s="366">
        <v>67.374542338254599</v>
      </c>
      <c r="Z25" s="366">
        <v>68.985472366866503</v>
      </c>
      <c r="AA25" s="366">
        <v>74.250177029032756</v>
      </c>
      <c r="AB25" s="366">
        <v>59.086542968719982</v>
      </c>
      <c r="AC25" s="366">
        <v>64.233792120302269</v>
      </c>
      <c r="AD25" s="366">
        <v>67.210825263751559</v>
      </c>
      <c r="AE25" s="366">
        <v>68.661723327077112</v>
      </c>
      <c r="AF25" s="366">
        <v>62.118812952427739</v>
      </c>
    </row>
    <row r="26" spans="1:32">
      <c r="A26" s="21">
        <v>80</v>
      </c>
      <c r="B26" s="21" t="s">
        <v>16</v>
      </c>
      <c r="C26" s="1213">
        <v>68.575096277278561</v>
      </c>
      <c r="D26" s="1213">
        <v>75.349922239502334</v>
      </c>
      <c r="E26" s="1213">
        <v>70.571827057182702</v>
      </c>
      <c r="F26" s="1213">
        <v>65</v>
      </c>
      <c r="G26" s="1213">
        <v>70.151730678046462</v>
      </c>
      <c r="H26" s="1213">
        <v>61.295720774563712</v>
      </c>
      <c r="I26" s="1213">
        <v>58.130348913759057</v>
      </c>
      <c r="J26" s="1213">
        <v>62.592655933890818</v>
      </c>
      <c r="K26" s="1213">
        <v>67.846935535090509</v>
      </c>
      <c r="L26" s="1213">
        <v>69.131209951536945</v>
      </c>
      <c r="M26" s="1213">
        <v>60.065369715641971</v>
      </c>
      <c r="N26" s="368">
        <v>64.849687194141822</v>
      </c>
      <c r="O26" s="368">
        <v>52.928998453939954</v>
      </c>
      <c r="P26" s="368">
        <v>50.193246925456172</v>
      </c>
      <c r="Q26" s="368">
        <v>52.447547841215759</v>
      </c>
      <c r="R26" s="368">
        <v>49.119611497891128</v>
      </c>
      <c r="S26" s="368">
        <v>50.274690404324893</v>
      </c>
      <c r="T26" s="368">
        <v>55.717059059094375</v>
      </c>
      <c r="U26" s="368">
        <v>56.937613060447688</v>
      </c>
      <c r="V26" s="368">
        <v>67.365684909264843</v>
      </c>
      <c r="W26" s="368">
        <v>73.673036629785926</v>
      </c>
      <c r="X26" s="368">
        <v>69.098333725043602</v>
      </c>
      <c r="Y26" s="368">
        <v>66.121107758452197</v>
      </c>
      <c r="Z26" s="368">
        <v>66.0815713013221</v>
      </c>
      <c r="AA26" s="368">
        <v>58.598877794577916</v>
      </c>
      <c r="AB26" s="368">
        <v>62.657283457470292</v>
      </c>
      <c r="AC26" s="368">
        <v>61.872257155124501</v>
      </c>
      <c r="AD26" s="368">
        <v>61.685720632208138</v>
      </c>
      <c r="AE26" s="368">
        <v>70.044895856333255</v>
      </c>
      <c r="AF26" s="368"/>
    </row>
    <row r="27" spans="1:32">
      <c r="A27" s="21">
        <v>771</v>
      </c>
      <c r="B27" s="21" t="s">
        <v>163</v>
      </c>
      <c r="C27" s="1209">
        <v>17.882947326028493</v>
      </c>
      <c r="D27" s="1209">
        <v>14.499466064022648</v>
      </c>
      <c r="E27" s="1209">
        <v>15.939901586775033</v>
      </c>
      <c r="F27" s="1209">
        <v>15.076363921353488</v>
      </c>
      <c r="G27" s="1209">
        <v>12.956244244947293</v>
      </c>
      <c r="H27" s="1209">
        <v>13.232813234058909</v>
      </c>
      <c r="I27" s="1209">
        <v>12.219867202157134</v>
      </c>
      <c r="J27" s="1209">
        <v>12.108103354216166</v>
      </c>
      <c r="K27" s="1209">
        <v>12.699002036430734</v>
      </c>
      <c r="L27" s="1209">
        <v>13.262998569500493</v>
      </c>
      <c r="M27" s="1209">
        <v>13.530608258092325</v>
      </c>
      <c r="N27" s="364">
        <v>12.227230130852723</v>
      </c>
      <c r="O27" s="364">
        <v>12.347332572686238</v>
      </c>
      <c r="P27" s="364">
        <v>14.104309793212138</v>
      </c>
      <c r="Q27" s="364">
        <v>13.864321212496439</v>
      </c>
      <c r="R27" s="364">
        <v>17.344859617288499</v>
      </c>
      <c r="S27" s="364">
        <v>18.693212102631112</v>
      </c>
      <c r="T27" s="364">
        <v>18.018190720081513</v>
      </c>
      <c r="U27" s="364">
        <v>18.277514260145665</v>
      </c>
      <c r="V27" s="364">
        <v>18.6587351403364</v>
      </c>
      <c r="W27" s="364">
        <v>19.227325163284974</v>
      </c>
      <c r="X27" s="364">
        <v>21.500364430337012</v>
      </c>
      <c r="Y27" s="364">
        <v>19.047038627237821</v>
      </c>
      <c r="Z27" s="364">
        <v>20.035291757504904</v>
      </c>
      <c r="AA27" s="364">
        <v>20.81342306630776</v>
      </c>
      <c r="AB27" s="364">
        <v>23.045774695379372</v>
      </c>
      <c r="AC27" s="364">
        <v>25.244661231541109</v>
      </c>
      <c r="AD27" s="364">
        <v>26.702427145115454</v>
      </c>
      <c r="AE27" s="364">
        <v>28.751476670799882</v>
      </c>
      <c r="AF27" s="364">
        <v>26.552403141729148</v>
      </c>
    </row>
    <row r="28" spans="1:32">
      <c r="A28" s="21">
        <v>145</v>
      </c>
      <c r="B28" s="21" t="s">
        <v>30</v>
      </c>
      <c r="C28" s="1216">
        <v>22.285486894235966</v>
      </c>
      <c r="D28" s="1216">
        <v>22.953747783683006</v>
      </c>
      <c r="E28" s="1216">
        <v>29.403914321072438</v>
      </c>
      <c r="F28" s="1216">
        <v>24.039041499145728</v>
      </c>
      <c r="G28" s="1216">
        <v>25.81986989855784</v>
      </c>
      <c r="H28" s="1216">
        <v>22.84284059126114</v>
      </c>
      <c r="I28" s="1216">
        <v>25.740393099934895</v>
      </c>
      <c r="J28" s="1216">
        <v>24.689991844248475</v>
      </c>
      <c r="K28" s="1216">
        <v>23.138805207643848</v>
      </c>
      <c r="L28" s="1216">
        <v>23.156469105245094</v>
      </c>
      <c r="M28" s="1216">
        <v>23.926286169351581</v>
      </c>
      <c r="N28" s="371">
        <v>26.965621499077891</v>
      </c>
      <c r="O28" s="371">
        <v>29.065094084787681</v>
      </c>
      <c r="P28" s="371">
        <v>28.386360364465528</v>
      </c>
      <c r="Q28" s="371">
        <v>27.197539256770366</v>
      </c>
      <c r="R28" s="371">
        <v>27.186567166001602</v>
      </c>
      <c r="S28" s="371">
        <v>27.274419885140833</v>
      </c>
      <c r="T28" s="371">
        <v>29.35905987024184</v>
      </c>
      <c r="U28" s="371">
        <v>32.582478073212968</v>
      </c>
      <c r="V28" s="371">
        <v>27.287357140007057</v>
      </c>
      <c r="W28" s="371">
        <v>27.323029987356939</v>
      </c>
      <c r="X28" s="371">
        <v>25.255673271418029</v>
      </c>
      <c r="Y28" s="371">
        <v>27.715805477218058</v>
      </c>
      <c r="Z28" s="371">
        <v>26.367101987184942</v>
      </c>
      <c r="AA28" s="371">
        <v>26.325875589535613</v>
      </c>
      <c r="AB28" s="371">
        <v>31.040861994202864</v>
      </c>
      <c r="AC28" s="371">
        <v>29.254096213164271</v>
      </c>
      <c r="AD28" s="371">
        <v>34.266254682735479</v>
      </c>
      <c r="AE28" s="371">
        <v>37.960464897686435</v>
      </c>
      <c r="AF28" s="371">
        <v>32.904449117755554</v>
      </c>
    </row>
    <row r="29" spans="1:32">
      <c r="A29" s="21">
        <v>346</v>
      </c>
      <c r="B29" s="21" t="s">
        <v>60</v>
      </c>
      <c r="N29" s="372"/>
      <c r="O29" s="372"/>
      <c r="P29" s="372"/>
      <c r="Q29" s="372">
        <v>86.398938516205277</v>
      </c>
      <c r="R29" s="372">
        <v>71.467872151341055</v>
      </c>
      <c r="S29" s="372">
        <v>83.882337552186655</v>
      </c>
      <c r="T29" s="372">
        <v>72.797330381629749</v>
      </c>
      <c r="U29" s="372">
        <v>98.363412500645893</v>
      </c>
      <c r="V29" s="372">
        <v>94.17666268031806</v>
      </c>
      <c r="W29" s="372">
        <v>75.500271391757778</v>
      </c>
      <c r="X29" s="372">
        <v>75.92642492624023</v>
      </c>
      <c r="Y29" s="372">
        <v>70.929354662772354</v>
      </c>
      <c r="Z29" s="372">
        <v>83.168491489520264</v>
      </c>
      <c r="AA29" s="372">
        <v>77.496803653658446</v>
      </c>
      <c r="AB29" s="372">
        <v>73.944593952633241</v>
      </c>
      <c r="AC29" s="372">
        <v>67.083318945557963</v>
      </c>
      <c r="AD29" s="372">
        <v>73.251175395698326</v>
      </c>
      <c r="AE29" s="372">
        <v>69.403532251548711</v>
      </c>
      <c r="AF29" s="372">
        <v>57.977740602925735</v>
      </c>
    </row>
    <row r="30" spans="1:32">
      <c r="A30" s="21">
        <v>571</v>
      </c>
      <c r="B30" s="21" t="s">
        <v>122</v>
      </c>
      <c r="C30" s="1217">
        <v>66.442301861621473</v>
      </c>
      <c r="D30" s="1217">
        <v>71.530328324986087</v>
      </c>
      <c r="E30" s="1217">
        <v>69.274197406822637</v>
      </c>
      <c r="F30" s="1217">
        <v>62.565618073647776</v>
      </c>
      <c r="G30" s="1217">
        <v>57.962198566152509</v>
      </c>
      <c r="H30" s="1217">
        <v>51.231759353120069</v>
      </c>
      <c r="I30" s="1217">
        <v>49.128740112346669</v>
      </c>
      <c r="J30" s="1217">
        <v>48.442188210334898</v>
      </c>
      <c r="K30" s="1217">
        <v>43.929649696017215</v>
      </c>
      <c r="L30" s="1217">
        <v>46.136266707437784</v>
      </c>
      <c r="M30" s="1217">
        <v>49.791913333853252</v>
      </c>
      <c r="N30" s="373">
        <v>46.52887118527115</v>
      </c>
      <c r="O30" s="373">
        <v>41.571691491672283</v>
      </c>
      <c r="P30" s="373">
        <v>39.112039204793462</v>
      </c>
      <c r="Q30" s="373">
        <v>38.762056609529054</v>
      </c>
      <c r="R30" s="373">
        <v>38.059398875789</v>
      </c>
      <c r="S30" s="373">
        <v>37.827429078807192</v>
      </c>
      <c r="T30" s="373">
        <v>41.368430323925892</v>
      </c>
      <c r="U30" s="373">
        <v>42.935357083832834</v>
      </c>
      <c r="V30" s="373">
        <v>40.882750017305447</v>
      </c>
      <c r="W30" s="373">
        <v>41.201172433613223</v>
      </c>
      <c r="X30" s="373">
        <v>35.362522454213966</v>
      </c>
      <c r="Y30" s="373">
        <v>35.427157873730749</v>
      </c>
      <c r="Z30" s="373">
        <v>34.374547289870712</v>
      </c>
      <c r="AA30" s="373">
        <v>36.890103993550369</v>
      </c>
      <c r="AB30" s="373">
        <v>34.456574112862647</v>
      </c>
      <c r="AC30" s="373">
        <v>30.663876213091392</v>
      </c>
      <c r="AD30" s="373">
        <v>35.415542612297969</v>
      </c>
      <c r="AE30" s="373">
        <v>41.926734131638526</v>
      </c>
      <c r="AF30" s="373">
        <v>44.604508341909614</v>
      </c>
    </row>
    <row r="31" spans="1:32">
      <c r="A31" s="21">
        <v>140</v>
      </c>
      <c r="B31" s="21" t="s">
        <v>29</v>
      </c>
      <c r="C31" s="1218">
        <v>11.305830707127186</v>
      </c>
      <c r="D31" s="1218">
        <v>9.7994490947726547</v>
      </c>
      <c r="E31" s="1218">
        <v>8.274479023643222</v>
      </c>
      <c r="F31" s="1218">
        <v>9.0083411942750633</v>
      </c>
      <c r="G31" s="1218">
        <v>7.9243872931541768</v>
      </c>
      <c r="H31" s="1218">
        <v>7.0953145607716763</v>
      </c>
      <c r="I31" s="1218">
        <v>6.3545765545368225</v>
      </c>
      <c r="J31" s="1218">
        <v>6.1926626460658891</v>
      </c>
      <c r="K31" s="1218">
        <v>5.6925380487004</v>
      </c>
      <c r="L31" s="1218">
        <v>5.4612679802850739</v>
      </c>
      <c r="M31" s="1218">
        <v>6.9617655463444024</v>
      </c>
      <c r="N31" s="374">
        <v>7.9139436316421525</v>
      </c>
      <c r="O31" s="374">
        <v>8.3850947538931777</v>
      </c>
      <c r="P31" s="374">
        <v>9.0960460663194542</v>
      </c>
      <c r="Q31" s="374">
        <v>9.1616224760672029</v>
      </c>
      <c r="R31" s="374">
        <v>8.7750016607510339</v>
      </c>
      <c r="S31" s="374">
        <v>8.3660989713122174</v>
      </c>
      <c r="T31" s="374">
        <v>9.0204232730524119</v>
      </c>
      <c r="U31" s="374">
        <v>8.9322202649919582</v>
      </c>
      <c r="V31" s="374">
        <v>10.81605633802817</v>
      </c>
      <c r="W31" s="374">
        <v>11.741679822159218</v>
      </c>
      <c r="X31" s="374">
        <v>13.496900477369492</v>
      </c>
      <c r="Y31" s="374">
        <v>12.582976840241924</v>
      </c>
      <c r="Z31" s="374">
        <v>12.075192888253053</v>
      </c>
      <c r="AA31" s="374">
        <v>12.548145813181369</v>
      </c>
      <c r="AB31" s="374">
        <v>11.520003129600385</v>
      </c>
      <c r="AC31" s="374">
        <v>11.465745284627369</v>
      </c>
      <c r="AD31" s="374">
        <v>11.846758630225931</v>
      </c>
      <c r="AE31" s="374">
        <v>13.474680922363271</v>
      </c>
      <c r="AF31" s="374">
        <v>11.177422808391253</v>
      </c>
    </row>
    <row r="32" spans="1:32">
      <c r="A32" s="21">
        <v>835</v>
      </c>
      <c r="B32" s="21" t="s">
        <v>174</v>
      </c>
      <c r="C32" s="1219">
        <v>11.664266828380837</v>
      </c>
      <c r="D32" s="1219">
        <v>13.713479378630888</v>
      </c>
      <c r="E32" s="1219">
        <v>17.22645352624399</v>
      </c>
      <c r="F32" s="1219">
        <v>18.981031502379277</v>
      </c>
      <c r="G32" s="1219"/>
      <c r="H32" s="1219"/>
      <c r="I32" s="1219"/>
      <c r="J32" s="1219"/>
      <c r="K32" s="1219"/>
      <c r="L32" s="1219">
        <v>35.207891905371916</v>
      </c>
      <c r="M32" s="1219">
        <v>37.266882940723782</v>
      </c>
      <c r="N32" s="375">
        <v>40.172009587650642</v>
      </c>
      <c r="O32" s="375">
        <v>47.909022822277706</v>
      </c>
      <c r="P32" s="375">
        <v>51.763640914342176</v>
      </c>
      <c r="Q32" s="375">
        <v>48.406218499758765</v>
      </c>
      <c r="R32" s="375">
        <v>55.827120723417067</v>
      </c>
      <c r="S32" s="375">
        <v>60.640510350342716</v>
      </c>
      <c r="T32" s="375">
        <v>58.494230396411531</v>
      </c>
      <c r="U32" s="375">
        <v>57.404127626038836</v>
      </c>
      <c r="V32" s="375">
        <v>48.403232462046859</v>
      </c>
      <c r="W32" s="375">
        <v>35.817294178336546</v>
      </c>
      <c r="X32" s="375">
        <v>39.193563380103484</v>
      </c>
      <c r="Y32" s="375">
        <v>41.626138682776016</v>
      </c>
      <c r="Z32" s="375">
        <v>35.96921587199347</v>
      </c>
      <c r="AA32" s="375">
        <v>31.790525091577148</v>
      </c>
      <c r="AB32" s="375">
        <v>27.289168334650878</v>
      </c>
      <c r="AC32" s="375">
        <v>25.216452028448028</v>
      </c>
      <c r="AD32" s="375">
        <v>27.816640261332605</v>
      </c>
      <c r="AE32" s="375"/>
      <c r="AF32" s="375"/>
    </row>
    <row r="33" spans="1:32">
      <c r="A33" s="21">
        <v>516</v>
      </c>
      <c r="B33" s="21" t="s">
        <v>108</v>
      </c>
      <c r="C33" s="1222">
        <v>23.292065033814392</v>
      </c>
      <c r="D33" s="1222">
        <v>22.037695696343025</v>
      </c>
      <c r="E33" s="1222">
        <v>26.907445991885076</v>
      </c>
      <c r="F33" s="1222">
        <v>24.747759740904847</v>
      </c>
      <c r="G33" s="1222">
        <v>23.552309788357551</v>
      </c>
      <c r="H33" s="1222">
        <v>20.786902391057275</v>
      </c>
      <c r="I33" s="1222">
        <v>22.315630476652796</v>
      </c>
      <c r="J33" s="1222">
        <v>25.738631735078894</v>
      </c>
      <c r="K33" s="1222">
        <v>25.95318326020919</v>
      </c>
      <c r="L33" s="1222">
        <v>22.943565396861036</v>
      </c>
      <c r="M33" s="1222">
        <v>27.775147257553716</v>
      </c>
      <c r="N33" s="378">
        <v>28.505182784006454</v>
      </c>
      <c r="O33" s="378">
        <v>29.476950889794285</v>
      </c>
      <c r="P33" s="378">
        <v>27.161035755474227</v>
      </c>
      <c r="Q33" s="378">
        <v>28.481758542713532</v>
      </c>
      <c r="R33" s="378">
        <v>27.278283555562492</v>
      </c>
      <c r="S33" s="378">
        <v>15.753401261877615</v>
      </c>
      <c r="T33" s="378">
        <v>14.439906651108519</v>
      </c>
      <c r="U33" s="378">
        <v>19.440279860069964</v>
      </c>
      <c r="V33" s="378">
        <v>15.963987703118137</v>
      </c>
      <c r="W33" s="378">
        <v>19.930724070450097</v>
      </c>
      <c r="X33" s="378">
        <v>20.894727272727273</v>
      </c>
      <c r="Y33" s="378">
        <v>22.324324324324323</v>
      </c>
      <c r="Z33" s="378">
        <v>27.686818974767679</v>
      </c>
      <c r="AA33" s="378">
        <v>33.915614559810152</v>
      </c>
      <c r="AB33" s="378">
        <v>45.292172149287126</v>
      </c>
      <c r="AC33" s="378">
        <v>46.975301814417996</v>
      </c>
      <c r="AD33" s="378"/>
      <c r="AE33" s="378"/>
      <c r="AF33" s="378"/>
    </row>
    <row r="34" spans="1:32">
      <c r="A34" s="21">
        <v>355</v>
      </c>
      <c r="B34" s="21" t="s">
        <v>64</v>
      </c>
      <c r="C34" s="1220">
        <v>30.688611497164121</v>
      </c>
      <c r="D34" s="1220">
        <v>34.522610897380019</v>
      </c>
      <c r="E34" s="1220">
        <v>33.216487285783423</v>
      </c>
      <c r="F34" s="1220">
        <v>36.939619079936605</v>
      </c>
      <c r="G34" s="1220">
        <v>38.246149665807849</v>
      </c>
      <c r="H34" s="1220">
        <v>43.202238874709295</v>
      </c>
      <c r="I34" s="1220">
        <v>43.469924376339208</v>
      </c>
      <c r="J34" s="1220">
        <v>42.622354821413801</v>
      </c>
      <c r="K34" s="1220">
        <v>45.8960848239889</v>
      </c>
      <c r="L34" s="1220">
        <v>48.158372064840634</v>
      </c>
      <c r="M34" s="1220">
        <v>36.72786943593335</v>
      </c>
      <c r="N34" s="376">
        <v>39.20412675018423</v>
      </c>
      <c r="O34" s="376">
        <v>52.938247011952186</v>
      </c>
      <c r="P34" s="376">
        <v>45.834727333556373</v>
      </c>
      <c r="Q34" s="376">
        <v>45.672563165905636</v>
      </c>
      <c r="R34" s="376">
        <v>49.906137377872497</v>
      </c>
      <c r="S34" s="376">
        <v>56.806919388322541</v>
      </c>
      <c r="T34" s="376">
        <v>53.411566855284832</v>
      </c>
      <c r="U34" s="376">
        <v>58.083664620228838</v>
      </c>
      <c r="V34" s="376">
        <v>60.576348863365027</v>
      </c>
      <c r="W34" s="376">
        <v>55.799694031094646</v>
      </c>
      <c r="X34" s="376">
        <v>58.14424643168752</v>
      </c>
      <c r="Y34" s="376">
        <v>55.535176876031166</v>
      </c>
      <c r="Z34" s="376">
        <v>58.857559990563338</v>
      </c>
      <c r="AA34" s="376">
        <v>63.392093447392917</v>
      </c>
      <c r="AB34" s="376">
        <v>55.627074380914621</v>
      </c>
      <c r="AC34" s="376">
        <v>78.796108474345161</v>
      </c>
      <c r="AD34" s="376">
        <v>79.183419667522344</v>
      </c>
      <c r="AE34" s="376">
        <v>78.732048690992457</v>
      </c>
      <c r="AF34" s="376">
        <v>55.755649653595995</v>
      </c>
    </row>
    <row r="35" spans="1:32">
      <c r="A35" s="21">
        <v>811</v>
      </c>
      <c r="B35" s="21" t="s">
        <v>169</v>
      </c>
      <c r="N35" s="379"/>
      <c r="O35" s="379"/>
      <c r="P35" s="379">
        <v>32.667184153603714</v>
      </c>
      <c r="Q35" s="379">
        <v>38.676072561917714</v>
      </c>
      <c r="R35" s="379">
        <v>46.582546515435624</v>
      </c>
      <c r="S35" s="379">
        <v>43.797560058389742</v>
      </c>
      <c r="T35" s="379">
        <v>45.317708881828942</v>
      </c>
      <c r="U35" s="379">
        <v>44.381327208959156</v>
      </c>
      <c r="V35" s="379">
        <v>53.632701899297345</v>
      </c>
      <c r="W35" s="379">
        <v>61.763298865784996</v>
      </c>
      <c r="X35" s="379">
        <v>61.266620305664652</v>
      </c>
      <c r="Y35" s="379">
        <v>64.270808110303619</v>
      </c>
      <c r="Z35" s="379">
        <v>66.560342021730506</v>
      </c>
      <c r="AA35" s="379">
        <v>70.905522253542131</v>
      </c>
      <c r="AB35" s="379">
        <v>72.747222806295014</v>
      </c>
      <c r="AC35" s="379">
        <v>76.022071015503982</v>
      </c>
      <c r="AD35" s="379">
        <v>72.9421788190039</v>
      </c>
      <c r="AE35" s="379">
        <v>67.777008677362844</v>
      </c>
      <c r="AF35" s="379">
        <v>62.655624420264708</v>
      </c>
    </row>
    <row r="36" spans="1:32">
      <c r="A36" s="21">
        <v>20</v>
      </c>
      <c r="B36" s="21" t="s">
        <v>1</v>
      </c>
      <c r="C36" s="1224">
        <v>26.229205763542097</v>
      </c>
      <c r="D36" s="1224">
        <v>26.191566034438274</v>
      </c>
      <c r="E36" s="1224">
        <v>21.795192426663579</v>
      </c>
      <c r="F36" s="1224">
        <v>22.20274875664218</v>
      </c>
      <c r="G36" s="1224">
        <v>25.115106921540452</v>
      </c>
      <c r="H36" s="1224">
        <v>25.957044680614516</v>
      </c>
      <c r="I36" s="1224">
        <v>26.882142111557904</v>
      </c>
      <c r="J36" s="1224">
        <v>25.640264138588677</v>
      </c>
      <c r="K36" s="1224">
        <v>25.953116487846888</v>
      </c>
      <c r="L36" s="1224">
        <v>25.652397343582756</v>
      </c>
      <c r="M36" s="1224">
        <v>25.682983758407225</v>
      </c>
      <c r="N36" s="381">
        <v>25.693241723047649</v>
      </c>
      <c r="O36" s="381">
        <v>27.465880539058929</v>
      </c>
      <c r="P36" s="381">
        <v>30.208722964201634</v>
      </c>
      <c r="Q36" s="381">
        <v>32.821748848383585</v>
      </c>
      <c r="R36" s="381">
        <v>34.132419246174237</v>
      </c>
      <c r="S36" s="381">
        <v>34.360780246252673</v>
      </c>
      <c r="T36" s="381">
        <v>37.527882156892289</v>
      </c>
      <c r="U36" s="381">
        <v>39.440617373408834</v>
      </c>
      <c r="V36" s="381">
        <v>39.524307312093043</v>
      </c>
      <c r="W36" s="381">
        <v>39.825669691996019</v>
      </c>
      <c r="X36" s="381">
        <v>37.799445511385784</v>
      </c>
      <c r="Y36" s="381">
        <v>37.149721789739829</v>
      </c>
      <c r="Z36" s="381">
        <v>34.36074762503349</v>
      </c>
      <c r="AA36" s="381">
        <v>34.10888623270305</v>
      </c>
      <c r="AB36" s="381">
        <v>34.0846310901157</v>
      </c>
      <c r="AC36" s="381">
        <v>33.623298320124377</v>
      </c>
      <c r="AD36" s="381">
        <v>33.01900052890025</v>
      </c>
      <c r="AE36" s="381">
        <v>33.696505643882752</v>
      </c>
      <c r="AF36" s="381">
        <v>30.42849968472931</v>
      </c>
    </row>
    <row r="37" spans="1:32">
      <c r="A37" s="21">
        <v>471</v>
      </c>
      <c r="B37" s="21" t="s">
        <v>98</v>
      </c>
      <c r="C37" s="1223">
        <v>27.131390898684373</v>
      </c>
      <c r="D37" s="1223">
        <v>28.414125073219083</v>
      </c>
      <c r="E37" s="1223">
        <v>28.911055658991991</v>
      </c>
      <c r="F37" s="1223">
        <v>29.30358759800486</v>
      </c>
      <c r="G37" s="1223">
        <v>30.993426052173795</v>
      </c>
      <c r="H37" s="1223">
        <v>31.575817316375897</v>
      </c>
      <c r="I37" s="1223">
        <v>22.724436423113438</v>
      </c>
      <c r="J37" s="1223">
        <v>20.6260388355991</v>
      </c>
      <c r="K37" s="1223">
        <v>15.961633988648757</v>
      </c>
      <c r="L37" s="1223">
        <v>17.769447147103072</v>
      </c>
      <c r="M37" s="1223">
        <v>17.313531041679163</v>
      </c>
      <c r="N37" s="380">
        <v>14.639898893818575</v>
      </c>
      <c r="O37" s="380">
        <v>18.315569924675337</v>
      </c>
      <c r="P37" s="380">
        <v>15.565345489683905</v>
      </c>
      <c r="Q37" s="380">
        <v>16.90321614063124</v>
      </c>
      <c r="R37" s="380">
        <v>17.793841018077767</v>
      </c>
      <c r="S37" s="380">
        <v>18.391508303933595</v>
      </c>
      <c r="T37" s="380">
        <v>18.359888520797181</v>
      </c>
      <c r="U37" s="380">
        <v>17.706349863399286</v>
      </c>
      <c r="V37" s="380">
        <v>17.164267390095958</v>
      </c>
      <c r="W37" s="380">
        <v>19.66157521875148</v>
      </c>
      <c r="X37" s="380">
        <v>23.214309608310291</v>
      </c>
      <c r="Y37" s="380">
        <v>20.716637517532082</v>
      </c>
      <c r="Z37" s="380">
        <v>19.911125784002145</v>
      </c>
      <c r="AA37" s="380">
        <v>19.830761963281368</v>
      </c>
      <c r="AB37" s="380">
        <v>21.470695803236719</v>
      </c>
      <c r="AC37" s="380">
        <v>20.953395472703061</v>
      </c>
      <c r="AD37" s="380">
        <v>21.246207661286824</v>
      </c>
      <c r="AE37" s="380">
        <v>35.536214168054357</v>
      </c>
      <c r="AF37" s="380">
        <v>30.900633001429263</v>
      </c>
    </row>
    <row r="38" spans="1:32">
      <c r="A38" s="21">
        <v>402</v>
      </c>
      <c r="B38" s="21" t="s">
        <v>81</v>
      </c>
      <c r="C38" s="1225"/>
      <c r="D38" s="1225"/>
      <c r="E38" s="1225"/>
      <c r="F38" s="1225"/>
      <c r="G38" s="1225"/>
      <c r="H38" s="1225"/>
      <c r="I38" s="1225">
        <v>47.501991629139191</v>
      </c>
      <c r="J38" s="1225">
        <v>42.985116491068133</v>
      </c>
      <c r="K38" s="1225">
        <v>41.225076940483198</v>
      </c>
      <c r="L38" s="1225">
        <v>46.488423768905456</v>
      </c>
      <c r="M38" s="1225">
        <v>43.705144026068574</v>
      </c>
      <c r="N38" s="382">
        <v>41.475329458754864</v>
      </c>
      <c r="O38" s="382">
        <v>48.800568303138803</v>
      </c>
      <c r="P38" s="382">
        <v>49.287076115269947</v>
      </c>
      <c r="Q38" s="382">
        <v>55.30094051341807</v>
      </c>
      <c r="R38" s="382">
        <v>59.139685132927376</v>
      </c>
      <c r="S38" s="382">
        <v>54.378633168979263</v>
      </c>
      <c r="T38" s="382">
        <v>55.924220062089667</v>
      </c>
      <c r="U38" s="382">
        <v>55.283205559122329</v>
      </c>
      <c r="V38" s="382">
        <v>57.764984475263923</v>
      </c>
      <c r="W38" s="382">
        <v>61.399371069182386</v>
      </c>
      <c r="X38" s="382">
        <v>63.721238938053091</v>
      </c>
      <c r="Y38" s="382">
        <v>68.072022160664829</v>
      </c>
      <c r="Z38" s="382">
        <v>66.288831835686779</v>
      </c>
      <c r="AA38" s="382">
        <v>53.771839409862146</v>
      </c>
      <c r="AB38" s="382">
        <v>50.064989760581447</v>
      </c>
      <c r="AC38" s="382">
        <v>56.332431066988143</v>
      </c>
      <c r="AD38" s="382">
        <v>59.399358520120849</v>
      </c>
      <c r="AE38" s="382">
        <v>61.733658423270008</v>
      </c>
      <c r="AF38" s="382">
        <v>65.397425403698222</v>
      </c>
    </row>
    <row r="39" spans="1:32">
      <c r="A39" s="21">
        <v>437</v>
      </c>
      <c r="B39" s="21" t="s">
        <v>91</v>
      </c>
      <c r="C39" s="1235">
        <v>41.178660363537489</v>
      </c>
      <c r="D39" s="1235">
        <v>42.284195384119229</v>
      </c>
      <c r="E39" s="1235">
        <v>39.326792981296123</v>
      </c>
      <c r="F39" s="1235">
        <v>35.720317055617222</v>
      </c>
      <c r="G39" s="1235">
        <v>31.791270494825646</v>
      </c>
      <c r="H39" s="1235">
        <v>32.397600731808915</v>
      </c>
      <c r="I39" s="1235">
        <v>30.181448755000062</v>
      </c>
      <c r="J39" s="1235">
        <v>29.620258084442678</v>
      </c>
      <c r="K39" s="1235">
        <v>27.890143025208182</v>
      </c>
      <c r="L39" s="1235">
        <v>29.055208405532461</v>
      </c>
      <c r="M39" s="1235">
        <v>27.111620941839458</v>
      </c>
      <c r="N39" s="392">
        <v>26.986094968431591</v>
      </c>
      <c r="O39" s="392">
        <v>28.115578409301605</v>
      </c>
      <c r="P39" s="392">
        <v>25.906068975620975</v>
      </c>
      <c r="Q39" s="392">
        <v>29.309256151804462</v>
      </c>
      <c r="R39" s="392">
        <v>34.443044241737319</v>
      </c>
      <c r="S39" s="392">
        <v>32.418280923288542</v>
      </c>
      <c r="T39" s="392">
        <v>33.090237985166979</v>
      </c>
      <c r="U39" s="392">
        <v>33.048229038203978</v>
      </c>
      <c r="V39" s="392">
        <v>32.184710904152112</v>
      </c>
      <c r="W39" s="392">
        <v>33.32344573732253</v>
      </c>
      <c r="X39" s="392">
        <v>33.463991410201679</v>
      </c>
      <c r="Y39" s="392">
        <v>33.399660129734926</v>
      </c>
      <c r="Z39" s="392">
        <v>34.911323092774921</v>
      </c>
      <c r="AA39" s="392">
        <v>39.354760686943798</v>
      </c>
      <c r="AB39" s="392">
        <v>43.587259865596359</v>
      </c>
      <c r="AC39" s="392">
        <v>42.356778735861589</v>
      </c>
      <c r="AD39" s="392">
        <v>41.94078409420905</v>
      </c>
      <c r="AE39" s="392">
        <v>38.802956885895171</v>
      </c>
      <c r="AF39" s="392">
        <v>33.754381604704449</v>
      </c>
    </row>
    <row r="40" spans="1:32">
      <c r="A40" s="21">
        <v>482</v>
      </c>
      <c r="B40" s="21" t="s">
        <v>101</v>
      </c>
      <c r="C40" s="1226">
        <v>41.080782873760278</v>
      </c>
      <c r="D40" s="1226">
        <v>34.059743911834509</v>
      </c>
      <c r="E40" s="1226">
        <v>34.224506588571465</v>
      </c>
      <c r="F40" s="1226">
        <v>36.616261103715466</v>
      </c>
      <c r="G40" s="1226">
        <v>35.501677385104998</v>
      </c>
      <c r="H40" s="1226">
        <v>32.503313880123791</v>
      </c>
      <c r="I40" s="1226">
        <v>30.584777301704737</v>
      </c>
      <c r="J40" s="1226">
        <v>29.080589925265183</v>
      </c>
      <c r="K40" s="1226">
        <v>25.649854352190292</v>
      </c>
      <c r="L40" s="1226">
        <v>26.048721058234207</v>
      </c>
      <c r="M40" s="1226">
        <v>27.625130112034768</v>
      </c>
      <c r="N40" s="383">
        <v>22.364450519791276</v>
      </c>
      <c r="O40" s="383">
        <v>24.112513365132099</v>
      </c>
      <c r="P40" s="383">
        <v>22.332151025637184</v>
      </c>
      <c r="Q40" s="383">
        <v>29.704865230106524</v>
      </c>
      <c r="R40" s="383">
        <v>27.691165591002143</v>
      </c>
      <c r="S40" s="383">
        <v>21.044271099744247</v>
      </c>
      <c r="T40" s="383">
        <v>24.930987506417939</v>
      </c>
      <c r="U40" s="383">
        <v>25.246519909355779</v>
      </c>
      <c r="V40" s="383">
        <v>14.562593851382665</v>
      </c>
      <c r="W40" s="383">
        <v>24.103466079186269</v>
      </c>
      <c r="X40" s="383">
        <v>21.007210709380786</v>
      </c>
      <c r="Y40" s="383">
        <v>20.140032852992256</v>
      </c>
      <c r="Z40" s="383">
        <v>18.015963545488503</v>
      </c>
      <c r="AA40" s="383">
        <v>19.40059621680988</v>
      </c>
      <c r="AB40" s="383">
        <v>21.391736822731794</v>
      </c>
      <c r="AC40" s="383">
        <v>21.913740494337393</v>
      </c>
      <c r="AD40" s="383">
        <v>22.277061192213608</v>
      </c>
      <c r="AE40" s="383">
        <v>23.362911378187128</v>
      </c>
      <c r="AF40" s="383">
        <v>22.398027353054896</v>
      </c>
    </row>
    <row r="41" spans="1:32">
      <c r="A41" s="21">
        <v>483</v>
      </c>
      <c r="B41" s="21" t="s">
        <v>102</v>
      </c>
      <c r="C41" s="1227">
        <v>28.865676739231567</v>
      </c>
      <c r="D41" s="1227">
        <v>22.661318666023156</v>
      </c>
      <c r="E41" s="1227">
        <v>13.494826128533417</v>
      </c>
      <c r="F41" s="1227">
        <v>23.541529240104779</v>
      </c>
      <c r="G41" s="1227">
        <v>24.053031527469596</v>
      </c>
      <c r="H41" s="1227">
        <v>31.327030287452274</v>
      </c>
      <c r="I41" s="1227">
        <v>35.375794713053573</v>
      </c>
      <c r="J41" s="1227">
        <v>36.432478126392944</v>
      </c>
      <c r="K41" s="1227">
        <v>30.104239604520711</v>
      </c>
      <c r="L41" s="1227">
        <v>31.408667356252788</v>
      </c>
      <c r="M41" s="1227">
        <v>27.906815191402185</v>
      </c>
      <c r="N41" s="384">
        <v>24.397908259644861</v>
      </c>
      <c r="O41" s="384">
        <v>24.813813641664513</v>
      </c>
      <c r="P41" s="384">
        <v>29.323887219569102</v>
      </c>
      <c r="Q41" s="384">
        <v>34.882749355050045</v>
      </c>
      <c r="R41" s="384">
        <v>33.767539024898305</v>
      </c>
      <c r="S41" s="384">
        <v>29.066523947443319</v>
      </c>
      <c r="T41" s="384">
        <v>30.769265058495996</v>
      </c>
      <c r="U41" s="384">
        <v>29.567356832939133</v>
      </c>
      <c r="V41" s="384">
        <v>32.189746993706358</v>
      </c>
      <c r="W41" s="384">
        <v>34.681075581556676</v>
      </c>
      <c r="X41" s="384">
        <v>49.656120496314401</v>
      </c>
      <c r="Y41" s="384">
        <v>113.66086725634526</v>
      </c>
      <c r="Z41" s="384">
        <v>58.745948052447126</v>
      </c>
      <c r="AA41" s="384">
        <v>50.759732865969312</v>
      </c>
      <c r="AB41" s="384">
        <v>43.838737967760864</v>
      </c>
      <c r="AC41" s="384">
        <v>41.139993896343675</v>
      </c>
      <c r="AD41" s="384">
        <v>52.300000000000004</v>
      </c>
      <c r="AE41" s="384">
        <v>50.2</v>
      </c>
      <c r="AF41" s="384">
        <v>70.099999999999994</v>
      </c>
    </row>
    <row r="42" spans="1:32">
      <c r="A42" s="21">
        <v>155</v>
      </c>
      <c r="B42" s="21" t="s">
        <v>32</v>
      </c>
      <c r="C42" s="1228">
        <v>26.977923256229658</v>
      </c>
      <c r="D42" s="1228">
        <v>26.753797654448036</v>
      </c>
      <c r="E42" s="1228">
        <v>21.253471511524282</v>
      </c>
      <c r="F42" s="1228">
        <v>21.317768762773063</v>
      </c>
      <c r="G42" s="1228">
        <v>25.342655396280982</v>
      </c>
      <c r="H42" s="1228">
        <v>25.712949969692623</v>
      </c>
      <c r="I42" s="1228">
        <v>26.030494187398311</v>
      </c>
      <c r="J42" s="1228">
        <v>27.220712718722041</v>
      </c>
      <c r="K42" s="1228">
        <v>27.253228694426458</v>
      </c>
      <c r="L42" s="1228">
        <v>30.65129584265603</v>
      </c>
      <c r="M42" s="1228">
        <v>30.549669066192685</v>
      </c>
      <c r="N42" s="385">
        <v>27.770304011431403</v>
      </c>
      <c r="O42" s="385">
        <v>28.16902587751256</v>
      </c>
      <c r="P42" s="385">
        <v>28.618885366058255</v>
      </c>
      <c r="Q42" s="385">
        <v>26.574230530591912</v>
      </c>
      <c r="R42" s="385">
        <v>27.102640718892211</v>
      </c>
      <c r="S42" s="385">
        <v>28.965173642309356</v>
      </c>
      <c r="T42" s="385">
        <v>29.203070872845021</v>
      </c>
      <c r="U42" s="385">
        <v>29.565982068693657</v>
      </c>
      <c r="V42" s="385">
        <v>27.325768469855387</v>
      </c>
      <c r="W42" s="385">
        <v>29.73251793781338</v>
      </c>
      <c r="X42" s="385">
        <v>31.773736818952408</v>
      </c>
      <c r="Y42" s="385">
        <v>31.620460280946627</v>
      </c>
      <c r="Z42" s="385">
        <v>32.412276947764305</v>
      </c>
      <c r="AA42" s="385">
        <v>31.584870491112802</v>
      </c>
      <c r="AB42" s="385">
        <v>32.812126955287638</v>
      </c>
      <c r="AC42" s="385">
        <v>30.708792147620983</v>
      </c>
      <c r="AD42" s="385">
        <v>33.243500278155594</v>
      </c>
      <c r="AE42" s="385">
        <v>40.885251641295525</v>
      </c>
      <c r="AF42" s="385">
        <v>30.362560913122984</v>
      </c>
    </row>
    <row r="43" spans="1:32">
      <c r="A43" s="21">
        <v>710</v>
      </c>
      <c r="B43" s="21" t="s">
        <v>154</v>
      </c>
      <c r="C43" s="1229">
        <v>11.013200049029669</v>
      </c>
      <c r="D43" s="1229">
        <v>12.06847443641748</v>
      </c>
      <c r="E43" s="1229">
        <v>9.3019494753478327</v>
      </c>
      <c r="F43" s="1229">
        <v>9.0656427167775728</v>
      </c>
      <c r="G43" s="1229">
        <v>10.390310723291293</v>
      </c>
      <c r="H43" s="1229">
        <v>13.289348084734092</v>
      </c>
      <c r="I43" s="1229">
        <v>12.480866724978499</v>
      </c>
      <c r="J43" s="1229">
        <v>14.380176902601818</v>
      </c>
      <c r="K43" s="1229">
        <v>16.145184850700357</v>
      </c>
      <c r="L43" s="1229">
        <v>15.33547565770256</v>
      </c>
      <c r="M43" s="1229">
        <v>13.085225944720118</v>
      </c>
      <c r="N43" s="386">
        <v>14.308691668269081</v>
      </c>
      <c r="O43" s="386">
        <v>17.465300631496124</v>
      </c>
      <c r="P43" s="386">
        <v>22.326628670036811</v>
      </c>
      <c r="Q43" s="386">
        <v>19.950835245194533</v>
      </c>
      <c r="R43" s="386">
        <v>18.582508526264064</v>
      </c>
      <c r="S43" s="386">
        <v>18.003708595972739</v>
      </c>
      <c r="T43" s="386">
        <v>17.258755598389094</v>
      </c>
      <c r="U43" s="386">
        <v>16.046654798405953</v>
      </c>
      <c r="V43" s="386">
        <v>17.520803727345076</v>
      </c>
      <c r="W43" s="386">
        <v>20.917126085281854</v>
      </c>
      <c r="X43" s="386">
        <v>20.480371378905669</v>
      </c>
      <c r="Y43" s="386">
        <v>22.562003653853683</v>
      </c>
      <c r="Z43" s="386">
        <v>27.357427435797238</v>
      </c>
      <c r="AA43" s="386">
        <v>31.400349866937539</v>
      </c>
      <c r="AB43" s="386">
        <v>31.551648862966601</v>
      </c>
      <c r="AC43" s="386">
        <v>31.433267247118085</v>
      </c>
      <c r="AD43" s="386">
        <v>29.613979847658271</v>
      </c>
      <c r="AE43" s="386">
        <v>27.264267902984727</v>
      </c>
      <c r="AF43" s="386">
        <v>22.328927158619354</v>
      </c>
    </row>
    <row r="44" spans="1:32">
      <c r="A44" s="21">
        <v>100</v>
      </c>
      <c r="B44" s="21" t="s">
        <v>23</v>
      </c>
      <c r="C44" s="1230">
        <v>15.578197667829755</v>
      </c>
      <c r="D44" s="1230">
        <v>15.432931710891767</v>
      </c>
      <c r="E44" s="1230">
        <v>15.176402512475484</v>
      </c>
      <c r="F44" s="1230">
        <v>13.227959791456637</v>
      </c>
      <c r="G44" s="1230">
        <v>12.472177383923182</v>
      </c>
      <c r="H44" s="1230">
        <v>12.525466534592136</v>
      </c>
      <c r="I44" s="1230">
        <v>11.993389468051943</v>
      </c>
      <c r="J44" s="1230">
        <v>12.918713988745761</v>
      </c>
      <c r="K44" s="1230">
        <v>13.86030032108842</v>
      </c>
      <c r="L44" s="1230">
        <v>13.816612806029701</v>
      </c>
      <c r="M44" s="1230">
        <v>14.820950232196543</v>
      </c>
      <c r="N44" s="387">
        <v>13.908308357893443</v>
      </c>
      <c r="O44" s="387">
        <v>15.757101845851562</v>
      </c>
      <c r="P44" s="387">
        <v>18.759325855681531</v>
      </c>
      <c r="Q44" s="387">
        <v>20.919175615569202</v>
      </c>
      <c r="R44" s="387">
        <v>20.963487428556355</v>
      </c>
      <c r="S44" s="387">
        <v>20.844645484931203</v>
      </c>
      <c r="T44" s="387">
        <v>20.755524345208602</v>
      </c>
      <c r="U44" s="387">
        <v>20.901572216522613</v>
      </c>
      <c r="V44" s="387">
        <v>17.802700564025319</v>
      </c>
      <c r="W44" s="387">
        <v>16.745016892285765</v>
      </c>
      <c r="X44" s="387">
        <v>18.600840062006991</v>
      </c>
      <c r="Y44" s="387">
        <v>18.204992015190587</v>
      </c>
      <c r="Z44" s="387">
        <v>20.046780256336856</v>
      </c>
      <c r="AA44" s="387">
        <v>19.247981985426065</v>
      </c>
      <c r="AB44" s="387">
        <v>18.7851578564444</v>
      </c>
      <c r="AC44" s="387">
        <v>20.619559133951864</v>
      </c>
      <c r="AD44" s="387">
        <v>19.94251241006457</v>
      </c>
      <c r="AE44" s="387">
        <v>20.444975962668838</v>
      </c>
      <c r="AF44" s="387">
        <v>18.32004863105746</v>
      </c>
    </row>
    <row r="45" spans="1:32">
      <c r="A45" s="21">
        <v>581</v>
      </c>
      <c r="B45" s="21" t="s">
        <v>125</v>
      </c>
      <c r="C45" s="1231">
        <v>51.942974651310614</v>
      </c>
      <c r="D45" s="1231">
        <v>49.212587493118313</v>
      </c>
      <c r="E45" s="1231">
        <v>53.83915885227735</v>
      </c>
      <c r="F45" s="1231">
        <v>53.682698795180727</v>
      </c>
      <c r="G45" s="1231">
        <v>55.535682719420251</v>
      </c>
      <c r="H45" s="1231">
        <v>50.058327149171689</v>
      </c>
      <c r="I45" s="1231">
        <v>41.492803829552535</v>
      </c>
      <c r="J45" s="1231">
        <v>42.500212657573016</v>
      </c>
      <c r="K45" s="1231">
        <v>41.771312542777139</v>
      </c>
      <c r="L45" s="1231">
        <v>39.28892464767079</v>
      </c>
      <c r="M45" s="1231">
        <v>37.146340746834326</v>
      </c>
      <c r="N45" s="388">
        <v>38.207669108143044</v>
      </c>
      <c r="O45" s="388">
        <v>41.850464106276078</v>
      </c>
      <c r="P45" s="388">
        <v>37.711705434666094</v>
      </c>
      <c r="Q45" s="388">
        <v>47.24825794107381</v>
      </c>
      <c r="R45" s="388">
        <v>44.56641938902456</v>
      </c>
      <c r="S45" s="388">
        <v>41.380948073095716</v>
      </c>
      <c r="T45" s="388">
        <v>43.023932102621544</v>
      </c>
      <c r="U45" s="388">
        <v>37.256959382181044</v>
      </c>
      <c r="V45" s="388">
        <v>33.91352571461929</v>
      </c>
      <c r="W45" s="388">
        <v>32.536568624722896</v>
      </c>
      <c r="X45" s="388">
        <v>30.792876916084783</v>
      </c>
      <c r="Y45" s="388">
        <v>30.759446428979459</v>
      </c>
      <c r="Z45" s="388">
        <v>31.189858382177221</v>
      </c>
      <c r="AA45" s="388">
        <v>32.975848909440373</v>
      </c>
      <c r="AB45" s="388">
        <v>35.754219133706044</v>
      </c>
      <c r="AC45" s="388">
        <v>38.610116751204828</v>
      </c>
      <c r="AD45" s="388">
        <v>41.325706353290329</v>
      </c>
      <c r="AE45" s="388">
        <v>48.282756800170738</v>
      </c>
      <c r="AF45" s="388">
        <v>48.16492952991814</v>
      </c>
    </row>
    <row r="46" spans="1:32">
      <c r="A46" s="21">
        <v>484</v>
      </c>
      <c r="B46" s="21" t="s">
        <v>103</v>
      </c>
      <c r="C46" s="1233">
        <v>60.127635960044387</v>
      </c>
      <c r="D46" s="1233">
        <v>76.093778844378818</v>
      </c>
      <c r="E46" s="1233">
        <v>68.507042253521121</v>
      </c>
      <c r="F46" s="1233">
        <v>51.764264264264256</v>
      </c>
      <c r="G46" s="1233">
        <v>45.623369848721964</v>
      </c>
      <c r="H46" s="1233">
        <v>56.005356407086936</v>
      </c>
      <c r="I46" s="1233">
        <v>53.668533952725781</v>
      </c>
      <c r="J46" s="1233">
        <v>38.62088634939964</v>
      </c>
      <c r="K46" s="1233">
        <v>40.42488619119878</v>
      </c>
      <c r="L46" s="1233">
        <v>34.828807297252567</v>
      </c>
      <c r="M46" s="1233">
        <v>45.800524934383205</v>
      </c>
      <c r="N46" s="390">
        <v>46.988422011187723</v>
      </c>
      <c r="O46" s="390">
        <v>40.082431736218446</v>
      </c>
      <c r="P46" s="390">
        <v>50.1309827654256</v>
      </c>
      <c r="Q46" s="390">
        <v>74.219227167229946</v>
      </c>
      <c r="R46" s="390">
        <v>63.605377769361858</v>
      </c>
      <c r="S46" s="390">
        <v>59.952296683850115</v>
      </c>
      <c r="T46" s="390">
        <v>60.161540163753045</v>
      </c>
      <c r="U46" s="390">
        <v>72.624032692809322</v>
      </c>
      <c r="V46" s="390">
        <v>59.104119229973094</v>
      </c>
      <c r="W46" s="390">
        <v>43.6137840785169</v>
      </c>
      <c r="X46" s="390">
        <v>53.310257286530295</v>
      </c>
      <c r="Y46" s="390">
        <v>53.940804788826071</v>
      </c>
      <c r="Z46" s="390">
        <v>76.049411739465</v>
      </c>
      <c r="AA46" s="390">
        <v>50.838405885660073</v>
      </c>
      <c r="AB46" s="390">
        <v>54.505394197639149</v>
      </c>
      <c r="AC46" s="390">
        <v>65.619966684317035</v>
      </c>
      <c r="AD46" s="390">
        <v>53.502359595700653</v>
      </c>
      <c r="AE46" s="390">
        <v>46.998869352111782</v>
      </c>
      <c r="AF46" s="390">
        <v>50.896538951755169</v>
      </c>
    </row>
    <row r="47" spans="1:32">
      <c r="A47" s="21">
        <v>94</v>
      </c>
      <c r="B47" s="21" t="s">
        <v>21</v>
      </c>
      <c r="C47" s="1234">
        <v>36.819020993461812</v>
      </c>
      <c r="D47" s="1234">
        <v>48.176179063199434</v>
      </c>
      <c r="E47" s="1234">
        <v>42.164871267588516</v>
      </c>
      <c r="F47" s="1234">
        <v>30.856848730402948</v>
      </c>
      <c r="G47" s="1234">
        <v>29.030581011858995</v>
      </c>
      <c r="H47" s="1234">
        <v>28.720354103514829</v>
      </c>
      <c r="I47" s="1234">
        <v>26.95435008850658</v>
      </c>
      <c r="J47" s="1234">
        <v>30.732985702823918</v>
      </c>
      <c r="K47" s="1234">
        <v>31.573297207313811</v>
      </c>
      <c r="L47" s="1234">
        <v>34.090793221912882</v>
      </c>
      <c r="M47" s="1234">
        <v>36.281731702798616</v>
      </c>
      <c r="N47" s="391">
        <v>37.122030258526571</v>
      </c>
      <c r="O47" s="391">
        <v>39.843521574566303</v>
      </c>
      <c r="P47" s="391">
        <v>42.239741300040883</v>
      </c>
      <c r="Q47" s="391">
        <v>41.132303436412229</v>
      </c>
      <c r="R47" s="391">
        <v>40.365475799346626</v>
      </c>
      <c r="S47" s="391">
        <v>42.78617863075047</v>
      </c>
      <c r="T47" s="391">
        <v>44.587683218461713</v>
      </c>
      <c r="U47" s="391">
        <v>50.109285250810267</v>
      </c>
      <c r="V47" s="391">
        <v>45.92712308556046</v>
      </c>
      <c r="W47" s="391">
        <v>45.766200128424792</v>
      </c>
      <c r="X47" s="391">
        <v>44.531086443673615</v>
      </c>
      <c r="Y47" s="391">
        <v>47.633278422725418</v>
      </c>
      <c r="Z47" s="391">
        <v>48.535276266685258</v>
      </c>
      <c r="AA47" s="391">
        <v>49.480761567051786</v>
      </c>
      <c r="AB47" s="391">
        <v>53.974355338127125</v>
      </c>
      <c r="AC47" s="391">
        <v>55.277306066820486</v>
      </c>
      <c r="AD47" s="391">
        <v>53.636180223562079</v>
      </c>
      <c r="AE47" s="391">
        <v>55.582831772561825</v>
      </c>
      <c r="AF47" s="391">
        <v>42.097623941487292</v>
      </c>
    </row>
    <row r="48" spans="1:32">
      <c r="A48" s="21">
        <v>344</v>
      </c>
      <c r="B48" s="21" t="s">
        <v>58</v>
      </c>
      <c r="N48" s="393">
        <v>86.128349372849627</v>
      </c>
      <c r="O48" s="393">
        <v>54.164155816901506</v>
      </c>
      <c r="P48" s="393">
        <v>53.574133290560724</v>
      </c>
      <c r="Q48" s="393">
        <v>45.915673698995199</v>
      </c>
      <c r="R48" s="393">
        <v>41.538432409391447</v>
      </c>
      <c r="S48" s="393">
        <v>42.516271454365892</v>
      </c>
      <c r="T48" s="393">
        <v>48.759649888943883</v>
      </c>
      <c r="U48" s="393">
        <v>42.179166288002648</v>
      </c>
      <c r="V48" s="393">
        <v>42.792735543974118</v>
      </c>
      <c r="W48" s="393">
        <v>44.95671883242224</v>
      </c>
      <c r="X48" s="393">
        <v>47.353975133139073</v>
      </c>
      <c r="Y48" s="393">
        <v>49.304021494001518</v>
      </c>
      <c r="Z48" s="393">
        <v>50.441688836300656</v>
      </c>
      <c r="AA48" s="393">
        <v>49.319890947371739</v>
      </c>
      <c r="AB48" s="393">
        <v>48.74888802884194</v>
      </c>
      <c r="AC48" s="393">
        <v>49.754844177979422</v>
      </c>
      <c r="AD48" s="393">
        <v>49.759825535112753</v>
      </c>
      <c r="AE48" s="393">
        <v>50.281191947156088</v>
      </c>
      <c r="AF48" s="393">
        <v>39.412199320259035</v>
      </c>
    </row>
    <row r="49" spans="1:32">
      <c r="A49" s="21">
        <v>40</v>
      </c>
      <c r="B49" s="21" t="s">
        <v>3</v>
      </c>
      <c r="C49" s="1236">
        <v>44.281355507504379</v>
      </c>
      <c r="D49" s="1236">
        <v>44.197774677273785</v>
      </c>
      <c r="E49" s="1236">
        <v>44.150996013291916</v>
      </c>
      <c r="F49" s="1236">
        <v>43.977425080594102</v>
      </c>
      <c r="G49" s="1236">
        <v>44.108631462620515</v>
      </c>
      <c r="H49" s="1236">
        <v>44.971950313999329</v>
      </c>
      <c r="I49" s="1236">
        <v>43.779870524089901</v>
      </c>
      <c r="J49" s="1236">
        <v>43.917102686086601</v>
      </c>
      <c r="K49" s="1236">
        <v>43.109570419485962</v>
      </c>
      <c r="L49" s="1236">
        <v>44.764663360494175</v>
      </c>
      <c r="M49" s="1236">
        <v>40.875447953570585</v>
      </c>
      <c r="N49" s="394">
        <v>29.064936823849152</v>
      </c>
      <c r="O49" s="394">
        <v>18.228600567411444</v>
      </c>
      <c r="P49" s="394">
        <v>15.721620458573311</v>
      </c>
      <c r="Q49" s="394">
        <v>14.536182890603143</v>
      </c>
      <c r="R49" s="394">
        <v>15.90690570644788</v>
      </c>
      <c r="S49" s="394">
        <v>17.311827956989248</v>
      </c>
      <c r="T49" s="394">
        <v>17.832009304342684</v>
      </c>
      <c r="U49" s="394">
        <v>18.251757218291388</v>
      </c>
      <c r="V49" s="394">
        <v>17.331279151345502</v>
      </c>
      <c r="W49" s="394">
        <v>16.945736738446236</v>
      </c>
      <c r="X49" s="394">
        <v>16.126670096552335</v>
      </c>
      <c r="Y49" s="394">
        <v>13.202244682276239</v>
      </c>
      <c r="Z49" s="394">
        <v>13.635236803329146</v>
      </c>
      <c r="AA49" s="394">
        <v>15.289476852845556</v>
      </c>
      <c r="AB49" s="394">
        <v>18.344136048551249</v>
      </c>
      <c r="AC49" s="394">
        <v>18.474594588445413</v>
      </c>
      <c r="AD49" s="394">
        <v>17.631279882874491</v>
      </c>
      <c r="AE49" s="394">
        <v>18.150003506908561</v>
      </c>
      <c r="AF49" s="394"/>
    </row>
    <row r="50" spans="1:32">
      <c r="A50" s="21">
        <v>352</v>
      </c>
      <c r="B50" s="21" t="s">
        <v>63</v>
      </c>
      <c r="C50" s="1237">
        <v>63.067207657305616</v>
      </c>
      <c r="D50" s="1237">
        <v>63.321921461187223</v>
      </c>
      <c r="E50" s="1237">
        <v>64.240415704647447</v>
      </c>
      <c r="F50" s="1237">
        <v>63.974661698610589</v>
      </c>
      <c r="G50" s="1237">
        <v>67.100340739926878</v>
      </c>
      <c r="H50" s="1237">
        <v>58.831464198344563</v>
      </c>
      <c r="I50" s="1237">
        <v>48.422763164175485</v>
      </c>
      <c r="J50" s="1237">
        <v>50.269632635241202</v>
      </c>
      <c r="K50" s="1237">
        <v>53.504685348890192</v>
      </c>
      <c r="L50" s="1237">
        <v>59.874159711143903</v>
      </c>
      <c r="M50" s="1237">
        <v>57.107642994091677</v>
      </c>
      <c r="N50" s="395">
        <v>57.09425475754287</v>
      </c>
      <c r="O50" s="395">
        <v>60.640046408198742</v>
      </c>
      <c r="P50" s="395">
        <v>47.925000763428741</v>
      </c>
      <c r="Q50" s="395">
        <v>48.086668310187051</v>
      </c>
      <c r="R50" s="395">
        <v>50.090802213662364</v>
      </c>
      <c r="S50" s="395">
        <v>53.671537584663795</v>
      </c>
      <c r="T50" s="395">
        <v>53.567529845179187</v>
      </c>
      <c r="U50" s="395">
        <v>50.739257101238188</v>
      </c>
      <c r="V50" s="395">
        <v>50.007164296164461</v>
      </c>
      <c r="W50" s="395">
        <v>54.513644575449291</v>
      </c>
      <c r="X50" s="395">
        <v>53.916742494638527</v>
      </c>
      <c r="Y50" s="395">
        <v>52.312207540798198</v>
      </c>
      <c r="Z50" s="395">
        <v>48.207016779254772</v>
      </c>
      <c r="AA50" s="395">
        <v>50.239069055241757</v>
      </c>
      <c r="AB50" s="395">
        <v>50.886711824051353</v>
      </c>
      <c r="AC50" s="395">
        <v>51.75527161465574</v>
      </c>
      <c r="AD50" s="395">
        <v>54.195863719391333</v>
      </c>
      <c r="AE50" s="395">
        <v>57.426930725997437</v>
      </c>
      <c r="AF50" s="395"/>
    </row>
    <row r="51" spans="1:32">
      <c r="A51" s="21">
        <v>315</v>
      </c>
      <c r="B51" s="21" t="s">
        <v>198</v>
      </c>
    </row>
    <row r="52" spans="1:32">
      <c r="A52" s="21">
        <v>316</v>
      </c>
      <c r="B52" s="21" t="s">
        <v>51</v>
      </c>
      <c r="C52" s="1238"/>
      <c r="D52" s="1238"/>
      <c r="E52" s="1238"/>
      <c r="F52" s="1238"/>
      <c r="G52" s="1238"/>
      <c r="H52" s="1238"/>
      <c r="I52" s="1238"/>
      <c r="J52" s="1238"/>
      <c r="K52" s="1238"/>
      <c r="L52" s="1238"/>
      <c r="M52" s="1238">
        <v>42.574257425742573</v>
      </c>
      <c r="N52" s="396">
        <v>45.741576014858055</v>
      </c>
      <c r="O52" s="396">
        <v>53.566367501180913</v>
      </c>
      <c r="P52" s="396">
        <v>54.305098273969868</v>
      </c>
      <c r="Q52" s="396">
        <v>53.160171256966613</v>
      </c>
      <c r="R52" s="396">
        <v>55.066408823052093</v>
      </c>
      <c r="S52" s="396">
        <v>54.76840564419161</v>
      </c>
      <c r="T52" s="396">
        <v>57.274995113450764</v>
      </c>
      <c r="U52" s="396">
        <v>55.312867677811425</v>
      </c>
      <c r="V52" s="396">
        <v>56.623447650107153</v>
      </c>
      <c r="W52" s="396">
        <v>66.394599960076178</v>
      </c>
      <c r="X52" s="396">
        <v>67.851904631126246</v>
      </c>
      <c r="Y52" s="396">
        <v>62.305431839872227</v>
      </c>
      <c r="Z52" s="396">
        <v>64.062651574826063</v>
      </c>
      <c r="AA52" s="396">
        <v>70.080951782068965</v>
      </c>
      <c r="AB52" s="396">
        <v>69.035833426612896</v>
      </c>
      <c r="AC52" s="396">
        <v>72.993006077205933</v>
      </c>
      <c r="AD52" s="396">
        <v>75.082308949896188</v>
      </c>
      <c r="AE52" s="396">
        <v>72.539586673223113</v>
      </c>
      <c r="AF52" s="396">
        <v>63.797575422062494</v>
      </c>
    </row>
    <row r="53" spans="1:32">
      <c r="A53" s="21">
        <v>390</v>
      </c>
      <c r="B53" s="21" t="s">
        <v>79</v>
      </c>
      <c r="C53" s="1239">
        <v>34.830416799236396</v>
      </c>
      <c r="D53" s="1239">
        <v>36.63839206823107</v>
      </c>
      <c r="E53" s="1239">
        <v>36.928004756784929</v>
      </c>
      <c r="F53" s="1239">
        <v>35.506660165340541</v>
      </c>
      <c r="G53" s="1239">
        <v>36.630267664000456</v>
      </c>
      <c r="H53" s="1239">
        <v>37.691275788694604</v>
      </c>
      <c r="I53" s="1239">
        <v>34.317520603678112</v>
      </c>
      <c r="J53" s="1239">
        <v>31.44489922632615</v>
      </c>
      <c r="K53" s="1239">
        <v>32.023725651491119</v>
      </c>
      <c r="L53" s="1239">
        <v>33.539287227999786</v>
      </c>
      <c r="M53" s="1239">
        <v>32.553934583797265</v>
      </c>
      <c r="N53" s="397">
        <v>33.109017650563899</v>
      </c>
      <c r="O53" s="397">
        <v>31.610586866241263</v>
      </c>
      <c r="P53" s="397">
        <v>30.672761510360175</v>
      </c>
      <c r="Q53" s="397">
        <v>32.444405775145988</v>
      </c>
      <c r="R53" s="397">
        <v>33.493862458253439</v>
      </c>
      <c r="S53" s="397">
        <v>32.97372200529599</v>
      </c>
      <c r="T53" s="397">
        <v>35.112082804375461</v>
      </c>
      <c r="U53" s="397">
        <v>36.10331930808789</v>
      </c>
      <c r="V53" s="397">
        <v>35.657818509352907</v>
      </c>
      <c r="W53" s="397">
        <v>40.515269358343822</v>
      </c>
      <c r="X53" s="397">
        <v>40.596026837155428</v>
      </c>
      <c r="Y53" s="397">
        <v>41.390958355460661</v>
      </c>
      <c r="Z53" s="397">
        <v>39.092546596710619</v>
      </c>
      <c r="AA53" s="397">
        <v>40.484251592573898</v>
      </c>
      <c r="AB53" s="397">
        <v>44.083476081972123</v>
      </c>
      <c r="AC53" s="397">
        <v>48.891649541969244</v>
      </c>
      <c r="AD53" s="397">
        <v>50.046231921072291</v>
      </c>
      <c r="AE53" s="397">
        <v>52.020319457042739</v>
      </c>
      <c r="AF53" s="397">
        <v>43.961848641776704</v>
      </c>
    </row>
    <row r="54" spans="1:32">
      <c r="A54" s="21">
        <v>522</v>
      </c>
      <c r="B54" s="21" t="s">
        <v>111</v>
      </c>
      <c r="C54" s="1240"/>
      <c r="D54" s="1240"/>
      <c r="E54" s="1240"/>
      <c r="F54" s="1240"/>
      <c r="G54" s="1240"/>
      <c r="H54" s="1240"/>
      <c r="I54" s="1240"/>
      <c r="J54" s="1240"/>
      <c r="K54" s="1240"/>
      <c r="L54" s="1240"/>
      <c r="M54" s="1240">
        <v>78.434397088129842</v>
      </c>
      <c r="N54" s="398">
        <v>78.060794260550665</v>
      </c>
      <c r="O54" s="398">
        <v>76.802297524746649</v>
      </c>
      <c r="P54" s="398">
        <v>64.207633779486301</v>
      </c>
      <c r="Q54" s="398">
        <v>56.030028552301061</v>
      </c>
      <c r="R54" s="398">
        <v>51.217554490368087</v>
      </c>
      <c r="S54" s="398">
        <v>50.385557264081093</v>
      </c>
      <c r="T54" s="398">
        <v>50.331333393033042</v>
      </c>
      <c r="U54" s="398">
        <v>53.452988198634074</v>
      </c>
      <c r="V54" s="398">
        <v>48.355929872880687</v>
      </c>
      <c r="W54" s="398">
        <v>50.382125099397435</v>
      </c>
      <c r="X54" s="398">
        <v>45.771871983454339</v>
      </c>
      <c r="Y54" s="398">
        <v>43.749547855024232</v>
      </c>
      <c r="Z54" s="398">
        <v>49.0699264769734</v>
      </c>
      <c r="AA54" s="398">
        <v>54.169123548046457</v>
      </c>
      <c r="AB54" s="398">
        <v>50.942875014685285</v>
      </c>
      <c r="AC54" s="398">
        <v>57.330308463536909</v>
      </c>
      <c r="AD54" s="398">
        <v>77.149568991260381</v>
      </c>
      <c r="AE54" s="398"/>
      <c r="AF54" s="398"/>
    </row>
    <row r="55" spans="1:32">
      <c r="A55" s="21">
        <v>54</v>
      </c>
      <c r="B55" s="21" t="s">
        <v>9</v>
      </c>
      <c r="C55" s="1241">
        <v>92.561258381901354</v>
      </c>
      <c r="D55" s="1241">
        <v>78.695676491973813</v>
      </c>
      <c r="E55" s="1241">
        <v>69.548678934923416</v>
      </c>
      <c r="F55" s="1241">
        <v>60.565338276181649</v>
      </c>
      <c r="G55" s="1241">
        <v>68.386990395317198</v>
      </c>
      <c r="H55" s="1241">
        <v>59.951912239837704</v>
      </c>
      <c r="I55" s="1241">
        <v>59.216787838731001</v>
      </c>
      <c r="J55" s="1241">
        <v>61.338453420882921</v>
      </c>
      <c r="K55" s="1241">
        <v>68.784298375837324</v>
      </c>
      <c r="L55" s="1241">
        <v>78.409115320697779</v>
      </c>
      <c r="M55" s="1241">
        <v>80.535325698520921</v>
      </c>
      <c r="N55" s="399">
        <v>70.006978940022165</v>
      </c>
      <c r="O55" s="399">
        <v>65.303719082840161</v>
      </c>
      <c r="P55" s="399">
        <v>61.014912084413339</v>
      </c>
      <c r="Q55" s="399">
        <v>62.796093771315363</v>
      </c>
      <c r="R55" s="399">
        <v>64.408993984274758</v>
      </c>
      <c r="S55" s="399">
        <v>61.367478696741848</v>
      </c>
      <c r="T55" s="399">
        <v>70.32745136450626</v>
      </c>
      <c r="U55" s="399">
        <v>66.624630714103233</v>
      </c>
      <c r="V55" s="399">
        <v>67.450546410291878</v>
      </c>
      <c r="W55" s="399">
        <v>67.51485351362426</v>
      </c>
      <c r="X55" s="399">
        <v>62.275782413270065</v>
      </c>
      <c r="Y55" s="399">
        <v>61.302698696429346</v>
      </c>
      <c r="Z55" s="399">
        <v>59.861903755372367</v>
      </c>
      <c r="AA55" s="399">
        <v>61.044812943941615</v>
      </c>
      <c r="AB55" s="399">
        <v>65.537939825987948</v>
      </c>
      <c r="AC55" s="399">
        <v>62.996902426432634</v>
      </c>
      <c r="AD55" s="399">
        <v>68.631626496305614</v>
      </c>
      <c r="AE55" s="399">
        <v>70.762854373157651</v>
      </c>
      <c r="AF55" s="399">
        <v>65.539016689219665</v>
      </c>
    </row>
    <row r="56" spans="1:32">
      <c r="A56" s="21">
        <v>42</v>
      </c>
      <c r="B56" s="21" t="s">
        <v>5</v>
      </c>
      <c r="C56" s="1242">
        <v>28.939828766076154</v>
      </c>
      <c r="D56" s="1242">
        <v>25.017201706798232</v>
      </c>
      <c r="E56" s="1242">
        <v>19.249119622328649</v>
      </c>
      <c r="F56" s="1242">
        <v>18.302017821542766</v>
      </c>
      <c r="G56" s="1242">
        <v>32.844807752678577</v>
      </c>
      <c r="H56" s="1242">
        <v>37.102460455142563</v>
      </c>
      <c r="I56" s="1242">
        <v>33.464513057041586</v>
      </c>
      <c r="J56" s="1242">
        <v>37.424551555507698</v>
      </c>
      <c r="K56" s="1242">
        <v>41.74730634445126</v>
      </c>
      <c r="L56" s="1242">
        <v>44.526796660783489</v>
      </c>
      <c r="M56" s="1242">
        <v>43.691223137429873</v>
      </c>
      <c r="N56" s="400">
        <v>43.056973409168251</v>
      </c>
      <c r="O56" s="400">
        <v>43.996493208193897</v>
      </c>
      <c r="P56" s="400">
        <v>42.046520115582062</v>
      </c>
      <c r="Q56" s="400">
        <v>41.560148391793277</v>
      </c>
      <c r="R56" s="400">
        <v>39.320771132844229</v>
      </c>
      <c r="S56" s="400">
        <v>38.159834377738328</v>
      </c>
      <c r="T56" s="400">
        <v>40.200434437379542</v>
      </c>
      <c r="U56" s="400">
        <v>43.552615178223789</v>
      </c>
      <c r="V56" s="400">
        <v>43.324112358772616</v>
      </c>
      <c r="W56" s="400">
        <v>45.86678561191691</v>
      </c>
      <c r="X56" s="400">
        <v>40.995073893996668</v>
      </c>
      <c r="Y56" s="400">
        <v>40.334037711138095</v>
      </c>
      <c r="Z56" s="400">
        <v>43.416572692486874</v>
      </c>
      <c r="AA56" s="400">
        <v>41.555798401120839</v>
      </c>
      <c r="AB56" s="400">
        <v>35.504126462497133</v>
      </c>
      <c r="AC56" s="400">
        <v>37.975187297986331</v>
      </c>
      <c r="AD56" s="400">
        <v>37.873735449732351</v>
      </c>
      <c r="AE56" s="400">
        <v>39.238763914489041</v>
      </c>
      <c r="AF56" s="400">
        <v>30.252133327249485</v>
      </c>
    </row>
    <row r="57" spans="1:32">
      <c r="A57" s="21">
        <v>490</v>
      </c>
      <c r="B57" s="21" t="s">
        <v>104</v>
      </c>
      <c r="C57" s="1232">
        <v>16.351908825855997</v>
      </c>
      <c r="D57" s="1232">
        <v>17.141975936247135</v>
      </c>
      <c r="E57" s="1232">
        <v>13.952595130445889</v>
      </c>
      <c r="F57" s="1232">
        <v>17.29085221751664</v>
      </c>
      <c r="G57" s="1232">
        <v>26.117305924402118</v>
      </c>
      <c r="H57" s="1232">
        <v>25.634337521455976</v>
      </c>
      <c r="I57" s="1232">
        <v>24.031505944663103</v>
      </c>
      <c r="J57" s="1232">
        <v>28.861721781444675</v>
      </c>
      <c r="K57" s="1232">
        <v>27.822023619877879</v>
      </c>
      <c r="L57" s="1232">
        <v>24.838689907415851</v>
      </c>
      <c r="M57" s="1232">
        <v>29.204567845129464</v>
      </c>
      <c r="N57" s="389">
        <v>24.124831339723624</v>
      </c>
      <c r="O57" s="389">
        <v>17.524301408636127</v>
      </c>
      <c r="P57" s="389">
        <v>9.1091319199837191</v>
      </c>
      <c r="Q57" s="389">
        <v>19.891391347785387</v>
      </c>
      <c r="R57" s="389">
        <v>23.72624358652816</v>
      </c>
      <c r="S57" s="389">
        <v>30.31349395115565</v>
      </c>
      <c r="T57" s="389">
        <v>15.000000240000002</v>
      </c>
      <c r="U57" s="389">
        <v>32.889218426347107</v>
      </c>
      <c r="V57" s="389">
        <v>17.559432504152799</v>
      </c>
      <c r="W57" s="389">
        <v>21.3732750540856</v>
      </c>
      <c r="X57" s="389">
        <v>20.688504148428635</v>
      </c>
      <c r="Y57" s="389">
        <v>26.074550868515612</v>
      </c>
      <c r="Z57" s="389">
        <v>33.346659888277749</v>
      </c>
      <c r="AA57" s="389">
        <v>39.168565752348421</v>
      </c>
      <c r="AB57" s="389">
        <v>42.73314662278311</v>
      </c>
      <c r="AC57" s="389">
        <v>44.355978091203994</v>
      </c>
      <c r="AD57" s="389">
        <v>37.93899245811587</v>
      </c>
      <c r="AE57" s="389">
        <v>38.555997753151303</v>
      </c>
      <c r="AF57" s="389">
        <v>21.72695985719114</v>
      </c>
    </row>
    <row r="58" spans="1:32">
      <c r="A58" s="21">
        <v>816</v>
      </c>
      <c r="B58" s="21" t="s">
        <v>171</v>
      </c>
      <c r="C58" s="1360"/>
      <c r="D58" s="1360"/>
      <c r="E58" s="1360"/>
      <c r="F58" s="1360"/>
      <c r="G58" s="1360"/>
      <c r="H58" s="1360"/>
      <c r="I58" s="1360">
        <v>16.596154382678804</v>
      </c>
      <c r="J58" s="1360">
        <v>14.797178407993073</v>
      </c>
      <c r="K58" s="1360">
        <v>15.005188819160626</v>
      </c>
      <c r="L58" s="1360">
        <v>34.055105090511297</v>
      </c>
      <c r="M58" s="1360">
        <v>45.277086502638099</v>
      </c>
      <c r="N58" s="528">
        <v>36.031912951911416</v>
      </c>
      <c r="O58" s="528">
        <v>38.831289875619674</v>
      </c>
      <c r="P58" s="528">
        <v>37.489483438961962</v>
      </c>
      <c r="Q58" s="528">
        <v>43.46006787041172</v>
      </c>
      <c r="R58" s="528">
        <v>41.908411667616846</v>
      </c>
      <c r="S58" s="528">
        <v>51.837259843885228</v>
      </c>
      <c r="T58" s="528">
        <v>51.241775969128767</v>
      </c>
      <c r="U58" s="528">
        <v>52.152945238678349</v>
      </c>
      <c r="V58" s="528">
        <v>52.82116249412713</v>
      </c>
      <c r="W58" s="528">
        <v>57.495599478380157</v>
      </c>
      <c r="X58" s="528">
        <v>56.894003739045687</v>
      </c>
      <c r="Y58" s="528">
        <v>61.968143280625476</v>
      </c>
      <c r="Z58" s="528">
        <v>67.654696718561013</v>
      </c>
      <c r="AA58" s="528">
        <v>73.285456454361551</v>
      </c>
      <c r="AB58" s="528">
        <v>73.540146637734722</v>
      </c>
      <c r="AC58" s="528">
        <v>78.166229756555197</v>
      </c>
      <c r="AD58" s="528">
        <v>92.747144174903724</v>
      </c>
      <c r="AE58" s="528">
        <v>93.129334064178821</v>
      </c>
      <c r="AF58" s="528">
        <v>78.651644064423934</v>
      </c>
    </row>
    <row r="59" spans="1:32">
      <c r="A59" s="21">
        <v>130</v>
      </c>
      <c r="B59" s="21" t="s">
        <v>27</v>
      </c>
      <c r="C59" s="1243">
        <v>27.095418635215907</v>
      </c>
      <c r="D59" s="1243">
        <v>23.883161512027492</v>
      </c>
      <c r="E59" s="1243">
        <v>26.994237709320963</v>
      </c>
      <c r="F59" s="1243">
        <v>23.499956230705571</v>
      </c>
      <c r="G59" s="1243">
        <v>23.310780170840015</v>
      </c>
      <c r="H59" s="1243">
        <v>23.244614352595349</v>
      </c>
      <c r="I59" s="1243">
        <v>25.152837334452098</v>
      </c>
      <c r="J59" s="1243">
        <v>34.238590985017062</v>
      </c>
      <c r="K59" s="1243">
        <v>32.307015571354079</v>
      </c>
      <c r="L59" s="1243">
        <v>35.965555191748642</v>
      </c>
      <c r="M59" s="1243">
        <v>31.996909896108168</v>
      </c>
      <c r="N59" s="401">
        <v>32.028564572758263</v>
      </c>
      <c r="O59" s="401">
        <v>31.181719990356925</v>
      </c>
      <c r="P59" s="401">
        <v>26.687034218916043</v>
      </c>
      <c r="Q59" s="401">
        <v>26.350077760703456</v>
      </c>
      <c r="R59" s="401">
        <v>28.258070312639433</v>
      </c>
      <c r="S59" s="401">
        <v>24.09253130980515</v>
      </c>
      <c r="T59" s="401">
        <v>25.715010706163135</v>
      </c>
      <c r="U59" s="401">
        <v>28.359492927332326</v>
      </c>
      <c r="V59" s="401">
        <v>24.95501959903098</v>
      </c>
      <c r="W59" s="401">
        <v>30.996609566488893</v>
      </c>
      <c r="X59" s="401">
        <v>31.137561040035074</v>
      </c>
      <c r="Y59" s="401">
        <v>31.163529071148112</v>
      </c>
      <c r="Z59" s="401">
        <v>27.911382174038895</v>
      </c>
      <c r="AA59" s="401">
        <v>29.567328820262713</v>
      </c>
      <c r="AB59" s="401">
        <v>31.790581220687624</v>
      </c>
      <c r="AC59" s="401">
        <v>32.921196468759724</v>
      </c>
      <c r="AD59" s="401">
        <v>34.219255760080927</v>
      </c>
      <c r="AE59" s="401">
        <v>37.748796622660244</v>
      </c>
      <c r="AF59" s="401">
        <v>48.091555113162585</v>
      </c>
    </row>
    <row r="60" spans="1:32">
      <c r="A60" s="21">
        <v>651</v>
      </c>
      <c r="B60" s="21" t="s">
        <v>136</v>
      </c>
      <c r="C60" s="1244">
        <v>42.865975243743897</v>
      </c>
      <c r="D60" s="1244">
        <v>48.804852435801642</v>
      </c>
      <c r="E60" s="1244">
        <v>41.932534954020277</v>
      </c>
      <c r="F60" s="1244">
        <v>36.429458221393794</v>
      </c>
      <c r="G60" s="1244">
        <v>35.812516898119256</v>
      </c>
      <c r="H60" s="1244">
        <v>32.041533134368514</v>
      </c>
      <c r="I60" s="1244">
        <v>25.594430439656829</v>
      </c>
      <c r="J60" s="1244">
        <v>22.766285751414152</v>
      </c>
      <c r="K60" s="1244">
        <v>35.161129468990652</v>
      </c>
      <c r="L60" s="1244">
        <v>32.351403586591474</v>
      </c>
      <c r="M60" s="1244">
        <v>32.713286175801251</v>
      </c>
      <c r="N60" s="402">
        <v>35.795690150526092</v>
      </c>
      <c r="O60" s="402">
        <v>30.913012221423436</v>
      </c>
      <c r="P60" s="402">
        <v>30.090206185567009</v>
      </c>
      <c r="Q60" s="402">
        <v>28.057142857142857</v>
      </c>
      <c r="R60" s="402">
        <v>27.696078431372552</v>
      </c>
      <c r="S60" s="402">
        <v>26.198779424585876</v>
      </c>
      <c r="T60" s="402">
        <v>24.896577660774728</v>
      </c>
      <c r="U60" s="402">
        <v>25.713291579679886</v>
      </c>
      <c r="V60" s="402">
        <v>23.309492847854358</v>
      </c>
      <c r="W60" s="402">
        <v>22.816818582769777</v>
      </c>
      <c r="X60" s="402">
        <v>22.330638416504041</v>
      </c>
      <c r="Y60" s="402">
        <v>22.670889232924331</v>
      </c>
      <c r="Z60" s="402">
        <v>24.38323354788529</v>
      </c>
      <c r="AA60" s="402">
        <v>29.589944208221187</v>
      </c>
      <c r="AB60" s="402">
        <v>32.609099474063946</v>
      </c>
      <c r="AC60" s="402">
        <v>31.568722746329875</v>
      </c>
      <c r="AD60" s="402">
        <v>34.829455837418131</v>
      </c>
      <c r="AE60" s="402">
        <v>38.633318445734702</v>
      </c>
      <c r="AF60" s="402">
        <v>31.870183786973143</v>
      </c>
    </row>
    <row r="61" spans="1:32">
      <c r="A61" s="21">
        <v>411</v>
      </c>
      <c r="B61" s="21" t="s">
        <v>84</v>
      </c>
      <c r="C61" s="1246"/>
      <c r="D61" s="1246"/>
      <c r="E61" s="1246"/>
      <c r="F61" s="1246"/>
      <c r="G61" s="1246"/>
      <c r="H61" s="1246">
        <v>39.577173976879806</v>
      </c>
      <c r="I61" s="1246">
        <v>57.396989598096063</v>
      </c>
      <c r="J61" s="1246">
        <v>74.829138551387629</v>
      </c>
      <c r="K61" s="1246">
        <v>81.825239757007935</v>
      </c>
      <c r="L61" s="1246">
        <v>68.866818487854559</v>
      </c>
      <c r="M61" s="1246">
        <v>69.592481520757843</v>
      </c>
      <c r="N61" s="404">
        <v>77.885447382207943</v>
      </c>
      <c r="O61" s="404">
        <v>36.160861119387718</v>
      </c>
      <c r="P61" s="404">
        <v>37.67941922709268</v>
      </c>
      <c r="Q61" s="404">
        <v>104.99369348529926</v>
      </c>
      <c r="R61" s="404">
        <v>104.21420576969145</v>
      </c>
      <c r="S61" s="404">
        <v>160.41669701012736</v>
      </c>
      <c r="T61" s="404">
        <v>123.36624800315244</v>
      </c>
      <c r="U61" s="404">
        <v>173.48456675343996</v>
      </c>
      <c r="V61" s="404"/>
      <c r="W61" s="404">
        <v>85.358583283510569</v>
      </c>
      <c r="X61" s="404">
        <v>92.08789912252611</v>
      </c>
      <c r="Y61" s="404">
        <v>52.342360681002454</v>
      </c>
      <c r="Z61" s="404">
        <v>76.42497509698066</v>
      </c>
      <c r="AA61" s="404">
        <v>54.988955554443109</v>
      </c>
      <c r="AB61" s="404">
        <v>43.607472075760597</v>
      </c>
      <c r="AC61" s="404">
        <v>33.099329166456329</v>
      </c>
      <c r="AD61" s="404">
        <v>30.28606222123565</v>
      </c>
      <c r="AE61" s="404">
        <v>32.133290910126199</v>
      </c>
      <c r="AF61" s="404">
        <v>41.559472246223763</v>
      </c>
    </row>
    <row r="62" spans="1:32">
      <c r="A62" s="21">
        <v>531</v>
      </c>
      <c r="B62" s="21" t="s">
        <v>113</v>
      </c>
      <c r="N62" s="405"/>
      <c r="O62" s="405">
        <v>44.953583024649014</v>
      </c>
      <c r="P62" s="405">
        <v>71.503310716913276</v>
      </c>
      <c r="Q62" s="405">
        <v>82.862115290669266</v>
      </c>
      <c r="R62" s="405">
        <v>82.934609250398722</v>
      </c>
      <c r="S62" s="405">
        <v>87.383749943292656</v>
      </c>
      <c r="T62" s="405">
        <v>85.799953870992539</v>
      </c>
      <c r="U62" s="405">
        <v>80.093082668786124</v>
      </c>
      <c r="V62" s="405">
        <v>86.724828629929675</v>
      </c>
      <c r="W62" s="405">
        <v>81.762429489702214</v>
      </c>
      <c r="X62" s="405">
        <v>67.026118085294954</v>
      </c>
      <c r="Y62" s="405">
        <v>69.974792934068148</v>
      </c>
      <c r="Z62" s="405">
        <v>76.268252606784117</v>
      </c>
      <c r="AA62" s="405">
        <v>70.658014302301709</v>
      </c>
      <c r="AB62" s="405">
        <v>51.51618006341041</v>
      </c>
      <c r="AC62" s="405">
        <v>36.265813906396744</v>
      </c>
      <c r="AD62" s="405">
        <v>34.47625004459104</v>
      </c>
      <c r="AE62" s="405">
        <v>21.808525225680803</v>
      </c>
      <c r="AF62" s="405">
        <v>20.259018784069998</v>
      </c>
    </row>
    <row r="63" spans="1:32">
      <c r="A63" s="21">
        <v>366</v>
      </c>
      <c r="B63" s="21" t="s">
        <v>68</v>
      </c>
      <c r="N63" s="406"/>
      <c r="O63" s="406">
        <v>54.359822381500514</v>
      </c>
      <c r="P63" s="406">
        <v>70.67435572713768</v>
      </c>
      <c r="Q63" s="406">
        <v>82.155001371637098</v>
      </c>
      <c r="R63" s="406">
        <v>75.673387799196817</v>
      </c>
      <c r="S63" s="406">
        <v>72.896633780874708</v>
      </c>
      <c r="T63" s="406">
        <v>82.594247681349316</v>
      </c>
      <c r="U63" s="406">
        <v>84.590155939477441</v>
      </c>
      <c r="V63" s="406">
        <v>75.345364228300113</v>
      </c>
      <c r="W63" s="406">
        <v>88.200658100199988</v>
      </c>
      <c r="X63" s="406">
        <v>82.302821352598201</v>
      </c>
      <c r="Y63" s="406">
        <v>78.288359554625004</v>
      </c>
      <c r="Z63" s="406">
        <v>76.680214667656657</v>
      </c>
      <c r="AA63" s="406">
        <v>80.129543298371971</v>
      </c>
      <c r="AB63" s="406">
        <v>84.217416460953274</v>
      </c>
      <c r="AC63" s="406">
        <v>91.936081046637256</v>
      </c>
      <c r="AD63" s="406">
        <v>84.077589343440565</v>
      </c>
      <c r="AE63" s="406">
        <v>79.808606846796422</v>
      </c>
      <c r="AF63" s="406">
        <v>65.233679349455798</v>
      </c>
    </row>
    <row r="64" spans="1:32">
      <c r="A64" s="21">
        <v>530</v>
      </c>
      <c r="B64" s="21" t="s">
        <v>112</v>
      </c>
      <c r="C64" s="1247"/>
      <c r="D64" s="1247">
        <v>11.930520817946617</v>
      </c>
      <c r="E64" s="1247">
        <v>12.373799060562444</v>
      </c>
      <c r="F64" s="1247">
        <v>11.310357084330978</v>
      </c>
      <c r="G64" s="1247">
        <v>13.888336851300092</v>
      </c>
      <c r="H64" s="1247">
        <v>11.499721843405844</v>
      </c>
      <c r="I64" s="1247">
        <v>12.198701641462305</v>
      </c>
      <c r="J64" s="1247">
        <v>11.650500567744228</v>
      </c>
      <c r="K64" s="1247">
        <v>11.564665685374894</v>
      </c>
      <c r="L64" s="1247">
        <v>10.544291001506634</v>
      </c>
      <c r="M64" s="1247">
        <v>8.8460669935534693</v>
      </c>
      <c r="N64" s="407">
        <v>9.1754404903533473</v>
      </c>
      <c r="O64" s="407">
        <v>7.6184999115541201</v>
      </c>
      <c r="P64" s="407">
        <v>14.401979752585255</v>
      </c>
      <c r="Q64" s="407">
        <v>14.100515073524036</v>
      </c>
      <c r="R64" s="407">
        <v>15.726037005053817</v>
      </c>
      <c r="S64" s="407">
        <v>16.278498005308482</v>
      </c>
      <c r="T64" s="407">
        <v>17.866624030739413</v>
      </c>
      <c r="U64" s="407">
        <v>20.508487556124642</v>
      </c>
      <c r="V64" s="407">
        <v>24.03921752738654</v>
      </c>
      <c r="W64" s="407">
        <v>23.971146320969869</v>
      </c>
      <c r="X64" s="407">
        <v>23.725283049377449</v>
      </c>
      <c r="Y64" s="407">
        <v>26.604423903865275</v>
      </c>
      <c r="Z64" s="407">
        <v>27.414396649846207</v>
      </c>
      <c r="AA64" s="407">
        <v>31.579390193211143</v>
      </c>
      <c r="AB64" s="407">
        <v>35.479499096473717</v>
      </c>
      <c r="AC64" s="407">
        <v>36.586139538610155</v>
      </c>
      <c r="AD64" s="407">
        <v>32.026340668244444</v>
      </c>
      <c r="AE64" s="407">
        <v>30.797403937371008</v>
      </c>
      <c r="AF64" s="407">
        <v>28.846804201534109</v>
      </c>
    </row>
    <row r="65" spans="1:32">
      <c r="A65" s="21">
        <v>860</v>
      </c>
      <c r="B65" s="21" t="s">
        <v>197</v>
      </c>
    </row>
    <row r="66" spans="1:32">
      <c r="A66" s="21">
        <v>950</v>
      </c>
      <c r="B66" s="21" t="s">
        <v>184</v>
      </c>
      <c r="C66" s="1248">
        <v>52.719339370685589</v>
      </c>
      <c r="D66" s="1248">
        <v>57.432322666161717</v>
      </c>
      <c r="E66" s="1248">
        <v>49.636229577256216</v>
      </c>
      <c r="F66" s="1248">
        <v>49.03695190127393</v>
      </c>
      <c r="G66" s="1248">
        <v>43.895564024151177</v>
      </c>
      <c r="H66" s="1248">
        <v>44.739830763387772</v>
      </c>
      <c r="I66" s="1248">
        <v>39.474575631114455</v>
      </c>
      <c r="J66" s="1248">
        <v>42.042042042042041</v>
      </c>
      <c r="K66" s="1248">
        <v>51.14638447971781</v>
      </c>
      <c r="L66" s="1248">
        <v>60.355279861413145</v>
      </c>
      <c r="M66" s="1248">
        <v>67.156565656565661</v>
      </c>
      <c r="N66" s="408">
        <v>60.504407443682659</v>
      </c>
      <c r="O66" s="408">
        <v>54.914650566824477</v>
      </c>
      <c r="P66" s="408">
        <v>59.448740828871706</v>
      </c>
      <c r="Q66" s="408">
        <v>59.452177817691961</v>
      </c>
      <c r="R66" s="408">
        <v>58.847305929481394</v>
      </c>
      <c r="S66" s="408">
        <v>58.845381526104411</v>
      </c>
      <c r="T66" s="408">
        <v>58.440011908306047</v>
      </c>
      <c r="U66" s="408">
        <v>58.304219704104263</v>
      </c>
      <c r="V66" s="408">
        <v>61.420019344887976</v>
      </c>
      <c r="W66" s="408">
        <v>70.26341247870171</v>
      </c>
      <c r="X66" s="408">
        <v>68.725394501598018</v>
      </c>
      <c r="Y66" s="408">
        <v>63.924053459963837</v>
      </c>
      <c r="Z66" s="408">
        <v>68.246559486497247</v>
      </c>
      <c r="AA66" s="408">
        <v>70.415950003913878</v>
      </c>
      <c r="AB66" s="408">
        <v>65.101452057402568</v>
      </c>
      <c r="AC66" s="408">
        <v>69.571323731733571</v>
      </c>
      <c r="AD66" s="408">
        <v>63.667747370901374</v>
      </c>
      <c r="AE66" s="408">
        <v>74.53894862425841</v>
      </c>
      <c r="AF66" s="408">
        <v>61.732345644729328</v>
      </c>
    </row>
    <row r="67" spans="1:32">
      <c r="A67" s="21">
        <v>375</v>
      </c>
      <c r="B67" s="21" t="s">
        <v>76</v>
      </c>
      <c r="C67" s="1249">
        <v>32.527075812274369</v>
      </c>
      <c r="D67" s="1249">
        <v>30.712308347529817</v>
      </c>
      <c r="E67" s="1249">
        <v>29.061790310370935</v>
      </c>
      <c r="F67" s="1249">
        <v>29.128606024557079</v>
      </c>
      <c r="G67" s="1249">
        <v>27.533478962864471</v>
      </c>
      <c r="H67" s="1249">
        <v>27.783695063819387</v>
      </c>
      <c r="I67" s="1249">
        <v>24.75331082835627</v>
      </c>
      <c r="J67" s="1249">
        <v>24.908309283309283</v>
      </c>
      <c r="K67" s="1249">
        <v>24.631064868882046</v>
      </c>
      <c r="L67" s="1249">
        <v>25.289130589660168</v>
      </c>
      <c r="M67" s="1249">
        <v>24.09089381908591</v>
      </c>
      <c r="N67" s="409">
        <v>22.632604663175936</v>
      </c>
      <c r="O67" s="409">
        <v>25.165419242867991</v>
      </c>
      <c r="P67" s="409">
        <v>27.272293809824653</v>
      </c>
      <c r="Q67" s="409">
        <v>29.114927045719526</v>
      </c>
      <c r="R67" s="409">
        <v>29.014647969495549</v>
      </c>
      <c r="S67" s="409">
        <v>30.246807651541918</v>
      </c>
      <c r="T67" s="409">
        <v>31.377665125987775</v>
      </c>
      <c r="U67" s="409">
        <v>30.5178982050314</v>
      </c>
      <c r="V67" s="409">
        <v>29.717235849519724</v>
      </c>
      <c r="W67" s="409">
        <v>34.459162818863064</v>
      </c>
      <c r="X67" s="409">
        <v>32.159944826793492</v>
      </c>
      <c r="Y67" s="409">
        <v>31.316487972077667</v>
      </c>
      <c r="Z67" s="409">
        <v>31.904329647356551</v>
      </c>
      <c r="AA67" s="409">
        <v>33.364881562688957</v>
      </c>
      <c r="AB67" s="409">
        <v>37.697623119123755</v>
      </c>
      <c r="AC67" s="409">
        <v>40.80341457230309</v>
      </c>
      <c r="AD67" s="409">
        <v>40.717409934224435</v>
      </c>
      <c r="AE67" s="409">
        <v>42.954470373519484</v>
      </c>
      <c r="AF67" s="409">
        <v>34.911712342760417</v>
      </c>
    </row>
    <row r="68" spans="1:32">
      <c r="A68" s="21">
        <v>220</v>
      </c>
      <c r="B68" s="21" t="s">
        <v>40</v>
      </c>
      <c r="C68" s="1250">
        <v>23.008873667397335</v>
      </c>
      <c r="D68" s="1250">
        <v>24.272969464816374</v>
      </c>
      <c r="E68" s="1250">
        <v>24.732742224065159</v>
      </c>
      <c r="F68" s="1250">
        <v>23.559104441961999</v>
      </c>
      <c r="G68" s="1250">
        <v>24.416449952945367</v>
      </c>
      <c r="H68" s="1250">
        <v>24.336765106281774</v>
      </c>
      <c r="I68" s="1250">
        <v>20.916385983767078</v>
      </c>
      <c r="J68" s="1250">
        <v>20.925882031290961</v>
      </c>
      <c r="K68" s="1250">
        <v>21.473449674977534</v>
      </c>
      <c r="L68" s="1250">
        <v>22.984272419686938</v>
      </c>
      <c r="M68" s="1250">
        <v>22.592652424047071</v>
      </c>
      <c r="N68" s="410">
        <v>22.633700958583475</v>
      </c>
      <c r="O68" s="410">
        <v>21.385293216266774</v>
      </c>
      <c r="P68" s="410">
        <v>20.111421310504877</v>
      </c>
      <c r="Q68" s="410">
        <v>20.9833411976328</v>
      </c>
      <c r="R68" s="410">
        <v>21.635260587741197</v>
      </c>
      <c r="S68" s="410">
        <v>21.686686121200189</v>
      </c>
      <c r="T68" s="410">
        <v>22.801044653241313</v>
      </c>
      <c r="U68" s="410">
        <v>23.687749453361779</v>
      </c>
      <c r="V68" s="410">
        <v>24.048112306884821</v>
      </c>
      <c r="W68" s="410">
        <v>27.662185750798546</v>
      </c>
      <c r="X68" s="410">
        <v>26.971549942057926</v>
      </c>
      <c r="Y68" s="410">
        <v>25.404651433110221</v>
      </c>
      <c r="Z68" s="410">
        <v>24.553521601892133</v>
      </c>
      <c r="AA68" s="410">
        <v>25.606843558173196</v>
      </c>
      <c r="AB68" s="410">
        <v>26.919101680814428</v>
      </c>
      <c r="AC68" s="410">
        <v>28.041268570325212</v>
      </c>
      <c r="AD68" s="410">
        <v>28.436160490987099</v>
      </c>
      <c r="AE68" s="410">
        <v>28.904070852050616</v>
      </c>
      <c r="AF68" s="410">
        <v>24.992226993630169</v>
      </c>
    </row>
    <row r="69" spans="1:32">
      <c r="A69" s="21">
        <v>987</v>
      </c>
      <c r="B69" s="21" t="s">
        <v>189</v>
      </c>
      <c r="C69" s="1297"/>
      <c r="D69" s="1297"/>
      <c r="E69" s="1297"/>
      <c r="F69" s="1297">
        <v>84.319248826291087</v>
      </c>
      <c r="G69" s="1297"/>
      <c r="H69" s="1297"/>
      <c r="I69" s="1297"/>
      <c r="J69" s="1297"/>
      <c r="K69" s="1297"/>
      <c r="L69" s="1297"/>
      <c r="M69" s="1297"/>
    </row>
    <row r="70" spans="1:32">
      <c r="A70" s="21">
        <v>481</v>
      </c>
      <c r="B70" s="21" t="s">
        <v>100</v>
      </c>
      <c r="C70" s="1251">
        <v>31.630170316301705</v>
      </c>
      <c r="D70" s="1251">
        <v>40.695569318723201</v>
      </c>
      <c r="E70" s="1251">
        <v>39.666919000756998</v>
      </c>
      <c r="F70" s="1251">
        <v>43.542521086435038</v>
      </c>
      <c r="G70" s="1251">
        <v>40.200488369104228</v>
      </c>
      <c r="H70" s="1251">
        <v>57.280906364545146</v>
      </c>
      <c r="I70" s="1251">
        <v>54.704335284635619</v>
      </c>
      <c r="J70" s="1251">
        <v>45.219507225841646</v>
      </c>
      <c r="K70" s="1251">
        <v>41.79143678006038</v>
      </c>
      <c r="L70" s="1251">
        <v>41.198053163609131</v>
      </c>
      <c r="M70" s="1251">
        <v>30.858941132913735</v>
      </c>
      <c r="N70" s="411">
        <v>33.271479254520564</v>
      </c>
      <c r="O70" s="411">
        <v>33.793289230995363</v>
      </c>
      <c r="P70" s="411">
        <v>34.548423028230644</v>
      </c>
      <c r="Q70" s="411">
        <v>38.251046821564358</v>
      </c>
      <c r="R70" s="411">
        <v>35.747697155785389</v>
      </c>
      <c r="S70" s="411">
        <v>33.007655863773685</v>
      </c>
      <c r="T70" s="411">
        <v>37.232253706860504</v>
      </c>
      <c r="U70" s="411">
        <v>48.56843100189036</v>
      </c>
      <c r="V70" s="411">
        <v>38.118948101706721</v>
      </c>
      <c r="W70" s="411">
        <v>32.669752231029321</v>
      </c>
      <c r="X70" s="411">
        <v>33.042434943699888</v>
      </c>
      <c r="Y70" s="411">
        <v>34.342168043756544</v>
      </c>
      <c r="Z70" s="411">
        <v>31.084664829075614</v>
      </c>
      <c r="AA70" s="411">
        <v>32.022467221551381</v>
      </c>
      <c r="AB70" s="411">
        <v>27.700540374980857</v>
      </c>
      <c r="AC70" s="411">
        <v>31.810048813078634</v>
      </c>
      <c r="AD70" s="411">
        <v>32.881437982588487</v>
      </c>
      <c r="AE70" s="411">
        <v>32.006877979190548</v>
      </c>
      <c r="AF70" s="411">
        <v>33.313166063293295</v>
      </c>
    </row>
    <row r="71" spans="1:32">
      <c r="A71" s="21">
        <v>420</v>
      </c>
      <c r="B71" s="21" t="s">
        <v>85</v>
      </c>
      <c r="C71" s="1252">
        <v>63.598478839003725</v>
      </c>
      <c r="D71" s="1252">
        <v>66.757040022696231</v>
      </c>
      <c r="E71" s="1252">
        <v>59.638154411145848</v>
      </c>
      <c r="F71" s="1252">
        <v>62.482248581562658</v>
      </c>
      <c r="G71" s="1252">
        <v>64.78919068596602</v>
      </c>
      <c r="H71" s="1252">
        <v>53.916615265939512</v>
      </c>
      <c r="I71" s="1252">
        <v>56.09831985065339</v>
      </c>
      <c r="J71" s="1252">
        <v>59.286905176832391</v>
      </c>
      <c r="K71" s="1252">
        <v>58.453280340282021</v>
      </c>
      <c r="L71" s="1252">
        <v>65.277418369075789</v>
      </c>
      <c r="M71" s="1252">
        <v>71.582677049168225</v>
      </c>
      <c r="N71" s="412">
        <v>74.939036363731503</v>
      </c>
      <c r="O71" s="412">
        <v>75.820083261964328</v>
      </c>
      <c r="P71" s="412">
        <v>74.971424162781929</v>
      </c>
      <c r="Q71" s="412">
        <v>59.002154541400365</v>
      </c>
      <c r="R71" s="412">
        <v>73.044033431764902</v>
      </c>
      <c r="S71" s="412">
        <v>63.169099726242841</v>
      </c>
      <c r="T71" s="412">
        <v>49.802239564193286</v>
      </c>
      <c r="U71" s="412">
        <v>57.623258944468411</v>
      </c>
      <c r="V71" s="412">
        <v>52.844611989063658</v>
      </c>
      <c r="W71" s="412">
        <v>56.845689250120216</v>
      </c>
      <c r="X71" s="412">
        <v>41.299587854678357</v>
      </c>
      <c r="Y71" s="412">
        <v>50.804747472747337</v>
      </c>
      <c r="Z71" s="412">
        <v>52.3401339929611</v>
      </c>
      <c r="AA71" s="412">
        <v>67.135122133599197</v>
      </c>
      <c r="AB71" s="412">
        <v>62.837182328829513</v>
      </c>
      <c r="AC71" s="412">
        <v>57.027554324968456</v>
      </c>
      <c r="AD71" s="412">
        <v>49.231937994071146</v>
      </c>
      <c r="AE71" s="412">
        <v>48.285592105263156</v>
      </c>
      <c r="AF71" s="412">
        <v>50.126193353474321</v>
      </c>
    </row>
    <row r="72" spans="1:32">
      <c r="A72" s="21">
        <v>452</v>
      </c>
      <c r="B72" s="21" t="s">
        <v>96</v>
      </c>
      <c r="C72" s="1255">
        <v>9.1547654425375704</v>
      </c>
      <c r="D72" s="1255">
        <v>5.3231620367043897</v>
      </c>
      <c r="E72" s="1255">
        <v>2.982035801609404</v>
      </c>
      <c r="F72" s="1255">
        <v>5.9889806519984168</v>
      </c>
      <c r="G72" s="1255">
        <v>10.770621942355493</v>
      </c>
      <c r="H72" s="1255">
        <v>13.589420578519769</v>
      </c>
      <c r="I72" s="1255">
        <v>20.135631516045006</v>
      </c>
      <c r="J72" s="1255">
        <v>26.185555866056021</v>
      </c>
      <c r="K72" s="1255">
        <v>24.06208100784178</v>
      </c>
      <c r="L72" s="1255">
        <v>24.343224522392404</v>
      </c>
      <c r="M72" s="1255">
        <v>25.85025734459952</v>
      </c>
      <c r="N72" s="415">
        <v>25.524794579867365</v>
      </c>
      <c r="O72" s="415">
        <v>28.767627467705186</v>
      </c>
      <c r="P72" s="415">
        <v>36.415204782476181</v>
      </c>
      <c r="Q72" s="415">
        <v>36.762514223353314</v>
      </c>
      <c r="R72" s="415">
        <v>32.926652191385891</v>
      </c>
      <c r="S72" s="415">
        <v>40.092765055177843</v>
      </c>
      <c r="T72" s="415">
        <v>52.991545995972913</v>
      </c>
      <c r="U72" s="415">
        <v>46.72819270041628</v>
      </c>
      <c r="V72" s="415">
        <v>49.62676403237252</v>
      </c>
      <c r="W72" s="415">
        <v>67.246173699523439</v>
      </c>
      <c r="X72" s="415">
        <v>64.812838240913351</v>
      </c>
      <c r="Y72" s="415">
        <v>54.872991468598705</v>
      </c>
      <c r="Z72" s="415">
        <v>56.608102636235394</v>
      </c>
      <c r="AA72" s="415">
        <v>60.367009195586462</v>
      </c>
      <c r="AB72" s="415">
        <v>61.722297163913929</v>
      </c>
      <c r="AC72" s="415">
        <v>40.730292739504812</v>
      </c>
      <c r="AD72" s="415">
        <v>40.829084631895292</v>
      </c>
      <c r="AE72" s="415">
        <v>44.484719278452275</v>
      </c>
      <c r="AF72" s="415">
        <v>41.347342413975319</v>
      </c>
    </row>
    <row r="73" spans="1:32">
      <c r="A73" s="21">
        <v>255</v>
      </c>
      <c r="B73" s="21" t="s">
        <v>47</v>
      </c>
      <c r="C73" s="1254">
        <v>25.085491818669247</v>
      </c>
      <c r="D73" s="1254">
        <v>25.96595766959533</v>
      </c>
      <c r="E73" s="1254">
        <v>25.393227508921385</v>
      </c>
      <c r="F73" s="1254">
        <v>25.140903588738301</v>
      </c>
      <c r="G73" s="1254">
        <v>26.472140870915002</v>
      </c>
      <c r="H73" s="1254">
        <v>26.968022456318831</v>
      </c>
      <c r="I73" s="1254">
        <v>23.384513304907134</v>
      </c>
      <c r="J73" s="1254">
        <v>22.681542812027626</v>
      </c>
      <c r="K73" s="1254">
        <v>23.145829890602009</v>
      </c>
      <c r="L73" s="1254">
        <v>24.743700794219688</v>
      </c>
      <c r="M73" s="1254">
        <v>24.864041178760459</v>
      </c>
      <c r="N73" s="414">
        <v>26.169034276032843</v>
      </c>
      <c r="O73" s="414">
        <v>24.529642540476857</v>
      </c>
      <c r="P73" s="414">
        <v>22.310357241924727</v>
      </c>
      <c r="Q73" s="414">
        <v>22.948370938577479</v>
      </c>
      <c r="R73" s="414">
        <v>23.485623089615622</v>
      </c>
      <c r="S73" s="414">
        <v>23.996631453272073</v>
      </c>
      <c r="T73" s="414">
        <v>26.223911295795528</v>
      </c>
      <c r="U73" s="414">
        <v>27.293449612797527</v>
      </c>
      <c r="V73" s="414">
        <v>28.531312127236578</v>
      </c>
      <c r="W73" s="414">
        <v>33.024969696969698</v>
      </c>
      <c r="X73" s="414">
        <v>32.798746900376692</v>
      </c>
      <c r="Y73" s="414">
        <v>31.167704065920738</v>
      </c>
      <c r="Z73" s="414">
        <v>31.674831315278674</v>
      </c>
      <c r="AA73" s="414">
        <v>33.334388710479892</v>
      </c>
      <c r="AB73" s="414">
        <v>35.810364820265811</v>
      </c>
      <c r="AC73" s="414">
        <v>39.653127014829145</v>
      </c>
      <c r="AD73" s="414">
        <v>39.813353066929778</v>
      </c>
      <c r="AE73" s="414">
        <v>41.045461873287117</v>
      </c>
      <c r="AF73" s="414">
        <v>35.889616620082599</v>
      </c>
    </row>
    <row r="74" spans="1:32">
      <c r="A74" s="21">
        <v>404</v>
      </c>
      <c r="B74" s="21" t="s">
        <v>83</v>
      </c>
      <c r="C74" s="1260">
        <v>41.841876314072337</v>
      </c>
      <c r="D74" s="1260">
        <v>35.718594344667196</v>
      </c>
      <c r="E74" s="1260">
        <v>41.285194119489368</v>
      </c>
      <c r="F74" s="1260">
        <v>32.253695190021013</v>
      </c>
      <c r="G74" s="1260">
        <v>51.281433234482655</v>
      </c>
      <c r="H74" s="1260">
        <v>57.709519478626348</v>
      </c>
      <c r="I74" s="1260">
        <v>31.835104512959738</v>
      </c>
      <c r="J74" s="1260">
        <v>38.956152738142173</v>
      </c>
      <c r="K74" s="1260">
        <v>51.168196325864066</v>
      </c>
      <c r="L74" s="1260">
        <v>46.189515949617423</v>
      </c>
      <c r="M74" s="1260">
        <v>37.034513430073183</v>
      </c>
      <c r="N74" s="420">
        <v>37.791122762753893</v>
      </c>
      <c r="O74" s="420">
        <v>50.111885814852876</v>
      </c>
      <c r="P74" s="420">
        <v>32.716864250905424</v>
      </c>
      <c r="Q74" s="420">
        <v>34.309371233116693</v>
      </c>
      <c r="R74" s="420">
        <v>35.143263350445416</v>
      </c>
      <c r="S74" s="420">
        <v>31.835767472049621</v>
      </c>
      <c r="T74" s="420">
        <v>39.883134657564263</v>
      </c>
      <c r="U74" s="420">
        <v>35.842844511810014</v>
      </c>
      <c r="V74" s="420">
        <v>42.81647089272461</v>
      </c>
      <c r="W74" s="420">
        <v>51.576504542067084</v>
      </c>
      <c r="X74" s="420">
        <v>62.954020454015556</v>
      </c>
      <c r="Y74" s="420">
        <v>51.222454407376702</v>
      </c>
      <c r="Z74" s="420"/>
      <c r="AA74" s="420"/>
      <c r="AB74" s="420"/>
      <c r="AC74" s="420"/>
      <c r="AD74" s="420"/>
      <c r="AE74" s="420"/>
      <c r="AF74" s="420"/>
    </row>
    <row r="75" spans="1:32">
      <c r="A75" s="21">
        <v>350</v>
      </c>
      <c r="B75" s="21" t="s">
        <v>62</v>
      </c>
      <c r="C75" s="1256">
        <v>29.540560900257145</v>
      </c>
      <c r="D75" s="1256">
        <v>30.112534134995105</v>
      </c>
      <c r="E75" s="1256">
        <v>28.816344601411092</v>
      </c>
      <c r="F75" s="1256">
        <v>28.882970334290022</v>
      </c>
      <c r="G75" s="1256">
        <v>28.179143551049307</v>
      </c>
      <c r="H75" s="1256">
        <v>28.362332575702865</v>
      </c>
      <c r="I75" s="1256">
        <v>29.184808592231715</v>
      </c>
      <c r="J75" s="1256">
        <v>28.292288742588482</v>
      </c>
      <c r="K75" s="1256">
        <v>27.244963283706074</v>
      </c>
      <c r="L75" s="1256">
        <v>29.045161121578627</v>
      </c>
      <c r="M75" s="1256">
        <v>29.643433126473674</v>
      </c>
      <c r="N75" s="416">
        <v>28.524839936836084</v>
      </c>
      <c r="O75" s="416">
        <v>27.999327521505368</v>
      </c>
      <c r="P75" s="416">
        <v>26.870148779450815</v>
      </c>
      <c r="Q75" s="416">
        <v>25.396007673661124</v>
      </c>
      <c r="R75" s="416">
        <v>26.524557515269763</v>
      </c>
      <c r="S75" s="416">
        <v>27.131250403400852</v>
      </c>
      <c r="T75" s="416">
        <v>28.770401416017915</v>
      </c>
      <c r="U75" s="416">
        <v>30.008800080935622</v>
      </c>
      <c r="V75" s="416">
        <v>32.948894589063464</v>
      </c>
      <c r="W75" s="416">
        <v>38.360072053447389</v>
      </c>
      <c r="X75" s="416">
        <v>37.190534614325834</v>
      </c>
      <c r="Y75" s="416">
        <v>34.620834521541994</v>
      </c>
      <c r="Z75" s="416">
        <v>32.273341367002359</v>
      </c>
      <c r="AA75" s="416">
        <v>32.314929554156137</v>
      </c>
      <c r="AB75" s="416">
        <v>31.390606923477236</v>
      </c>
      <c r="AC75" s="416">
        <v>33.181018042628416</v>
      </c>
      <c r="AD75" s="416">
        <v>34.69227157575547</v>
      </c>
      <c r="AE75" s="416">
        <v>35.943628806832528</v>
      </c>
      <c r="AF75" s="416">
        <v>29.26485446815224</v>
      </c>
    </row>
    <row r="76" spans="1:32">
      <c r="A76" s="21">
        <v>372</v>
      </c>
      <c r="B76" s="21" t="s">
        <v>74</v>
      </c>
      <c r="C76" s="1253"/>
      <c r="D76" s="1253"/>
      <c r="E76" s="1253"/>
      <c r="F76" s="1253"/>
      <c r="G76" s="1253"/>
      <c r="H76" s="1253"/>
      <c r="I76" s="1253"/>
      <c r="J76" s="1253">
        <v>40.436005625879048</v>
      </c>
      <c r="K76" s="1253">
        <v>46.557600545330608</v>
      </c>
      <c r="L76" s="1253">
        <v>45.087108013937282</v>
      </c>
      <c r="M76" s="1253">
        <v>45.69138276553106</v>
      </c>
      <c r="N76" s="413">
        <v>31.070496083550914</v>
      </c>
      <c r="O76" s="413">
        <v>66.257874279587199</v>
      </c>
      <c r="P76" s="413">
        <v>71.750147893809185</v>
      </c>
      <c r="Q76" s="413">
        <v>109.13050793286463</v>
      </c>
      <c r="R76" s="413">
        <v>42.326781600908134</v>
      </c>
      <c r="S76" s="413">
        <v>32.370550676100137</v>
      </c>
      <c r="T76" s="413">
        <v>42.142593879618467</v>
      </c>
      <c r="U76" s="413">
        <v>37.107915325513517</v>
      </c>
      <c r="V76" s="413">
        <v>38.096308469381285</v>
      </c>
      <c r="W76" s="413">
        <v>39.667211704472173</v>
      </c>
      <c r="X76" s="413">
        <v>38.868569119310934</v>
      </c>
      <c r="Y76" s="413">
        <v>42.399701814384798</v>
      </c>
      <c r="Z76" s="413">
        <v>46.422109667340244</v>
      </c>
      <c r="AA76" s="413">
        <v>48.18230095033163</v>
      </c>
      <c r="AB76" s="413">
        <v>51.56772940520046</v>
      </c>
      <c r="AC76" s="413">
        <v>57.016714796328195</v>
      </c>
      <c r="AD76" s="413">
        <v>57.950582818938187</v>
      </c>
      <c r="AE76" s="413">
        <v>58.403577340154698</v>
      </c>
      <c r="AF76" s="413">
        <v>49.018078029255861</v>
      </c>
    </row>
    <row r="77" spans="1:32">
      <c r="A77" s="21">
        <v>55</v>
      </c>
      <c r="B77" s="21" t="s">
        <v>10</v>
      </c>
      <c r="C77" s="1257">
        <v>79.376328844790933</v>
      </c>
      <c r="D77" s="1257">
        <v>89.549093973872743</v>
      </c>
      <c r="E77" s="1257">
        <v>82.957373988799006</v>
      </c>
      <c r="F77" s="1257">
        <v>70.918867293512363</v>
      </c>
      <c r="G77" s="1257">
        <v>64.621384485679172</v>
      </c>
      <c r="H77" s="1257">
        <v>68.723462748289577</v>
      </c>
      <c r="I77" s="1257">
        <v>73.471694119416952</v>
      </c>
      <c r="J77" s="1257">
        <v>68.823090007087174</v>
      </c>
      <c r="K77" s="1257">
        <v>64.96868978805395</v>
      </c>
      <c r="L77" s="1257">
        <v>60.37060214156584</v>
      </c>
      <c r="M77" s="1257">
        <v>62.785439535872655</v>
      </c>
      <c r="N77" s="417">
        <v>61.728811480436654</v>
      </c>
      <c r="O77" s="417">
        <v>55.109452401211513</v>
      </c>
      <c r="P77" s="417">
        <v>68.089392006601372</v>
      </c>
      <c r="Q77" s="417">
        <v>62.190152801358231</v>
      </c>
      <c r="R77" s="417">
        <v>55.266753887399467</v>
      </c>
      <c r="S77" s="417">
        <v>65.568907436271303</v>
      </c>
      <c r="T77" s="417">
        <v>69.716031978389211</v>
      </c>
      <c r="U77" s="417">
        <v>74.288198217778742</v>
      </c>
      <c r="V77" s="417">
        <v>70.146383072196002</v>
      </c>
      <c r="W77" s="417">
        <v>72.195531899135318</v>
      </c>
      <c r="X77" s="417">
        <v>66.348143748718954</v>
      </c>
      <c r="Y77" s="417">
        <v>62.231674838223938</v>
      </c>
      <c r="Z77" s="417">
        <v>64.857645239309804</v>
      </c>
      <c r="AA77" s="417">
        <v>67.995368116844318</v>
      </c>
      <c r="AB77" s="417">
        <v>71.561578047835951</v>
      </c>
      <c r="AC77" s="417">
        <v>71.291515628472069</v>
      </c>
      <c r="AD77" s="417">
        <v>71.43891358139723</v>
      </c>
      <c r="AE77" s="417">
        <v>67.455549666237275</v>
      </c>
      <c r="AF77" s="417">
        <v>56.648263305984436</v>
      </c>
    </row>
    <row r="78" spans="1:32">
      <c r="A78" s="21">
        <v>90</v>
      </c>
      <c r="B78" s="21" t="s">
        <v>17</v>
      </c>
      <c r="C78" s="1258">
        <v>24.919085128585841</v>
      </c>
      <c r="D78" s="1258">
        <v>23.601509892856829</v>
      </c>
      <c r="E78" s="1258">
        <v>18.687621840087072</v>
      </c>
      <c r="F78" s="1258">
        <v>14.552484863187381</v>
      </c>
      <c r="G78" s="1258">
        <v>15.151002963112104</v>
      </c>
      <c r="H78" s="1258">
        <v>12.984016068700575</v>
      </c>
      <c r="I78" s="1258">
        <v>14.592119493130994</v>
      </c>
      <c r="J78" s="1258">
        <v>22.294054925624561</v>
      </c>
      <c r="K78" s="1258">
        <v>21.936238765406355</v>
      </c>
      <c r="L78" s="1258">
        <v>22.474097139703716</v>
      </c>
      <c r="M78" s="1258">
        <v>24.841964527965068</v>
      </c>
      <c r="N78" s="418">
        <v>21.567650261520232</v>
      </c>
      <c r="O78" s="418">
        <v>27.29625963722037</v>
      </c>
      <c r="P78" s="418">
        <v>26.075897045764773</v>
      </c>
      <c r="Q78" s="418">
        <v>24.850947749202952</v>
      </c>
      <c r="R78" s="418">
        <v>25.430386311502257</v>
      </c>
      <c r="S78" s="418">
        <v>22.582835658159134</v>
      </c>
      <c r="T78" s="418">
        <v>23.595843133943831</v>
      </c>
      <c r="U78" s="418">
        <v>26.252133342155386</v>
      </c>
      <c r="V78" s="418">
        <v>27.355582729068438</v>
      </c>
      <c r="W78" s="418">
        <v>28.950553509260995</v>
      </c>
      <c r="X78" s="418">
        <v>41.337127103548973</v>
      </c>
      <c r="Y78" s="418">
        <v>39.732921945420131</v>
      </c>
      <c r="Z78" s="418">
        <v>40.185964361905981</v>
      </c>
      <c r="AA78" s="418">
        <v>42.102634896747062</v>
      </c>
      <c r="AB78" s="418">
        <v>40.993958953231832</v>
      </c>
      <c r="AC78" s="418">
        <v>41.88645734938941</v>
      </c>
      <c r="AD78" s="418">
        <v>42.333228020618883</v>
      </c>
      <c r="AE78" s="418">
        <v>39.404773532152213</v>
      </c>
      <c r="AF78" s="418">
        <v>33.129341903577853</v>
      </c>
    </row>
    <row r="79" spans="1:32">
      <c r="A79" s="21">
        <v>438</v>
      </c>
      <c r="B79" s="21" t="s">
        <v>92</v>
      </c>
      <c r="C79" s="1259"/>
      <c r="D79" s="1259"/>
      <c r="E79" s="1259"/>
      <c r="F79" s="1259"/>
      <c r="G79" s="1259"/>
      <c r="H79" s="1259"/>
      <c r="I79" s="1259">
        <v>28.072418154091288</v>
      </c>
      <c r="J79" s="1259">
        <v>30.703749953626318</v>
      </c>
      <c r="K79" s="1259">
        <v>31.074555405967057</v>
      </c>
      <c r="L79" s="1259">
        <v>29.785968125831975</v>
      </c>
      <c r="M79" s="1259">
        <v>33.441783222364506</v>
      </c>
      <c r="N79" s="419">
        <v>30.58558406556029</v>
      </c>
      <c r="O79" s="419">
        <v>26.07327938003332</v>
      </c>
      <c r="P79" s="419">
        <v>28.083845161308624</v>
      </c>
      <c r="Q79" s="419">
        <v>25.862510463035171</v>
      </c>
      <c r="R79" s="419">
        <v>24.525372857874508</v>
      </c>
      <c r="S79" s="419">
        <v>24.345070016261232</v>
      </c>
      <c r="T79" s="419">
        <v>22.853982221604834</v>
      </c>
      <c r="U79" s="419">
        <v>26.923968776870421</v>
      </c>
      <c r="V79" s="419">
        <v>26.033532344711592</v>
      </c>
      <c r="W79" s="419">
        <v>27.868017307946737</v>
      </c>
      <c r="X79" s="419">
        <v>29.406961677050607</v>
      </c>
      <c r="Y79" s="419">
        <v>27.985946537180357</v>
      </c>
      <c r="Z79" s="419">
        <v>25.185282638249351</v>
      </c>
      <c r="AA79" s="419">
        <v>25.816100126261077</v>
      </c>
      <c r="AB79" s="419">
        <v>35.111551253783773</v>
      </c>
      <c r="AC79" s="419">
        <v>42.617031707543298</v>
      </c>
      <c r="AD79" s="419">
        <v>34.677084773890194</v>
      </c>
      <c r="AE79" s="419">
        <v>38.640870151121376</v>
      </c>
      <c r="AF79" s="419">
        <v>45.447430693132581</v>
      </c>
    </row>
    <row r="80" spans="1:32">
      <c r="A80" s="21">
        <v>110</v>
      </c>
      <c r="B80" s="21" t="s">
        <v>25</v>
      </c>
      <c r="C80" s="1261">
        <v>93.640581432360747</v>
      </c>
      <c r="D80" s="1261">
        <v>92.310590048765036</v>
      </c>
      <c r="E80" s="1261">
        <v>70.08298755186722</v>
      </c>
      <c r="F80" s="1261">
        <v>64.577656675749324</v>
      </c>
      <c r="G80" s="1261">
        <v>51.35898587674378</v>
      </c>
      <c r="H80" s="1261">
        <v>61.882052923076927</v>
      </c>
      <c r="I80" s="1261">
        <v>53.211986180246186</v>
      </c>
      <c r="J80" s="1261">
        <v>90.76258457300564</v>
      </c>
      <c r="K80" s="1261">
        <v>67.931371458486112</v>
      </c>
      <c r="L80" s="1261">
        <v>73.533404904296134</v>
      </c>
      <c r="M80" s="1261">
        <v>79.85956328114321</v>
      </c>
      <c r="N80" s="421">
        <v>128.03362845916894</v>
      </c>
      <c r="O80" s="421">
        <v>152.8057270742201</v>
      </c>
      <c r="P80" s="421">
        <v>137.22585629828984</v>
      </c>
      <c r="Q80" s="421">
        <v>117.93001290297711</v>
      </c>
      <c r="R80" s="421">
        <v>112.11659773876643</v>
      </c>
      <c r="S80" s="421">
        <v>108.71622192801456</v>
      </c>
      <c r="T80" s="421">
        <v>109.47660448293865</v>
      </c>
      <c r="U80" s="421">
        <v>107.91042031918172</v>
      </c>
      <c r="V80" s="421">
        <v>104.55084104379853</v>
      </c>
      <c r="W80" s="421">
        <v>110.68862776884512</v>
      </c>
      <c r="X80" s="421">
        <v>111.41877274888175</v>
      </c>
      <c r="Y80" s="421">
        <v>105.4604886534845</v>
      </c>
      <c r="Z80" s="421">
        <v>99.79088884031637</v>
      </c>
      <c r="AA80" s="421">
        <v>105.65746422514766</v>
      </c>
      <c r="AB80" s="421">
        <v>119.20652103376538</v>
      </c>
      <c r="AC80" s="421"/>
      <c r="AD80" s="421"/>
      <c r="AE80" s="421"/>
      <c r="AF80" s="421"/>
    </row>
    <row r="81" spans="1:32">
      <c r="A81" s="21">
        <v>41</v>
      </c>
      <c r="B81" s="21" t="s">
        <v>4</v>
      </c>
      <c r="N81" s="422">
        <v>29.496044697682137</v>
      </c>
      <c r="O81" s="422">
        <v>24.966177039041359</v>
      </c>
      <c r="P81" s="422">
        <v>37.906916501165703</v>
      </c>
      <c r="Q81" s="422">
        <v>24.712913420319786</v>
      </c>
      <c r="R81" s="422">
        <v>28.714183996660857</v>
      </c>
      <c r="S81" s="422">
        <v>28.896368391716333</v>
      </c>
      <c r="T81" s="422">
        <v>26.441996111471163</v>
      </c>
      <c r="U81" s="422">
        <v>26.62031525310729</v>
      </c>
      <c r="V81" s="422">
        <v>29.699367545556939</v>
      </c>
      <c r="W81" s="422">
        <v>33.414539829853055</v>
      </c>
      <c r="X81" s="422">
        <v>36.141190198366395</v>
      </c>
      <c r="Y81" s="422">
        <v>36.00097843195644</v>
      </c>
      <c r="Z81" s="422">
        <v>47.860685716194325</v>
      </c>
      <c r="AA81" s="422">
        <v>44.009772984678072</v>
      </c>
      <c r="AB81" s="422">
        <v>42.939863718868096</v>
      </c>
      <c r="AC81" s="422">
        <v>45.018586795007678</v>
      </c>
      <c r="AD81" s="422">
        <v>38.941892690018626</v>
      </c>
      <c r="AE81" s="422">
        <v>44.191308511911885</v>
      </c>
      <c r="AF81" s="422">
        <v>43.910169948745612</v>
      </c>
    </row>
    <row r="82" spans="1:32">
      <c r="A82" s="21">
        <v>91</v>
      </c>
      <c r="B82" s="21" t="s">
        <v>18</v>
      </c>
      <c r="C82" s="1262">
        <v>44.056896099056637</v>
      </c>
      <c r="D82" s="1262">
        <v>37.701720163149496</v>
      </c>
      <c r="E82" s="1262">
        <v>28.052349200042993</v>
      </c>
      <c r="F82" s="1262">
        <v>29.23302051851045</v>
      </c>
      <c r="G82" s="1262">
        <v>32.027719192527869</v>
      </c>
      <c r="H82" s="1262">
        <v>29.866742220489488</v>
      </c>
      <c r="I82" s="1262">
        <v>28.305106759678765</v>
      </c>
      <c r="J82" s="1262">
        <v>25.827814768570757</v>
      </c>
      <c r="K82" s="1262">
        <v>28.926602529456275</v>
      </c>
      <c r="L82" s="1262">
        <v>34.342945191029905</v>
      </c>
      <c r="M82" s="1262">
        <v>39.945760548775624</v>
      </c>
      <c r="N82" s="423">
        <v>37.575088880715953</v>
      </c>
      <c r="O82" s="423">
        <v>36.276595744680847</v>
      </c>
      <c r="P82" s="423">
        <v>43.703997531843626</v>
      </c>
      <c r="Q82" s="423">
        <v>49.861409465733495</v>
      </c>
      <c r="R82" s="423">
        <v>48.079025248620255</v>
      </c>
      <c r="S82" s="423">
        <v>51.967003747670795</v>
      </c>
      <c r="T82" s="423">
        <v>51.817485037752157</v>
      </c>
      <c r="U82" s="423">
        <v>54.07876430335898</v>
      </c>
      <c r="V82" s="423">
        <v>55.978260869565219</v>
      </c>
      <c r="W82" s="423">
        <v>66.419956902304563</v>
      </c>
      <c r="X82" s="423">
        <v>64.561385066582361</v>
      </c>
      <c r="Y82" s="423">
        <v>65.266821000368552</v>
      </c>
      <c r="Z82" s="423">
        <v>68.15424291697876</v>
      </c>
      <c r="AA82" s="423">
        <v>77.038815313384774</v>
      </c>
      <c r="AB82" s="423">
        <v>77.483388893479628</v>
      </c>
      <c r="AC82" s="423">
        <v>77.077178762178889</v>
      </c>
      <c r="AD82" s="423">
        <v>81.356410409667518</v>
      </c>
      <c r="AE82" s="423">
        <v>84.273452554833867</v>
      </c>
      <c r="AF82" s="423">
        <v>60.772051868861595</v>
      </c>
    </row>
    <row r="83" spans="1:32">
      <c r="A83" s="21">
        <v>310</v>
      </c>
      <c r="B83" s="21" t="s">
        <v>50</v>
      </c>
      <c r="C83" s="1263">
        <v>41.251485719754072</v>
      </c>
      <c r="D83" s="1263">
        <v>40.575218742627371</v>
      </c>
      <c r="E83" s="1263">
        <v>37.1556522159621</v>
      </c>
      <c r="F83" s="1263">
        <v>38.328720267479724</v>
      </c>
      <c r="G83" s="1263">
        <v>37.924853033759312</v>
      </c>
      <c r="H83" s="1263">
        <v>40.127198744652489</v>
      </c>
      <c r="I83" s="1263">
        <v>41.054647318148419</v>
      </c>
      <c r="J83" s="1263">
        <v>38.349437771634989</v>
      </c>
      <c r="K83" s="1263">
        <v>34.139842428719405</v>
      </c>
      <c r="L83" s="1263">
        <v>32.705027126831219</v>
      </c>
      <c r="M83" s="1263">
        <v>28.532584634279306</v>
      </c>
      <c r="N83" s="424">
        <v>33.727758544845557</v>
      </c>
      <c r="O83" s="424">
        <v>31.714349019325322</v>
      </c>
      <c r="P83" s="424">
        <v>34.612156599484479</v>
      </c>
      <c r="Q83" s="424">
        <v>35.398783589942383</v>
      </c>
      <c r="R83" s="424">
        <v>45.776928637156615</v>
      </c>
      <c r="S83" s="424">
        <v>49.065555312830092</v>
      </c>
      <c r="T83" s="424">
        <v>55.063590451755005</v>
      </c>
      <c r="U83" s="424">
        <v>64.265748851491864</v>
      </c>
      <c r="V83" s="424">
        <v>67.490320576672715</v>
      </c>
      <c r="W83" s="424">
        <v>75.78484545685042</v>
      </c>
      <c r="X83" s="424">
        <v>72.476109483895556</v>
      </c>
      <c r="Y83" s="424">
        <v>65.061190081971844</v>
      </c>
      <c r="Z83" s="424">
        <v>64.682602285261865</v>
      </c>
      <c r="AA83" s="424">
        <v>66.526022789555611</v>
      </c>
      <c r="AB83" s="424">
        <v>67.825582608203788</v>
      </c>
      <c r="AC83" s="424">
        <v>77.790488932007463</v>
      </c>
      <c r="AD83" s="424">
        <v>78.772840260594776</v>
      </c>
      <c r="AE83" s="424">
        <v>80.223120493886967</v>
      </c>
      <c r="AF83" s="424"/>
    </row>
    <row r="84" spans="1:32">
      <c r="A84" s="21">
        <v>395</v>
      </c>
      <c r="B84" s="21" t="s">
        <v>80</v>
      </c>
      <c r="C84" s="1264">
        <v>35.473492429674536</v>
      </c>
      <c r="D84" s="1264">
        <v>36.078483315007361</v>
      </c>
      <c r="E84" s="1264">
        <v>36.886425789995435</v>
      </c>
      <c r="F84" s="1264">
        <v>37.515728475792415</v>
      </c>
      <c r="G84" s="1264">
        <v>38.04061148975503</v>
      </c>
      <c r="H84" s="1264">
        <v>40.065229030447142</v>
      </c>
      <c r="I84" s="1264">
        <v>34.724215846821714</v>
      </c>
      <c r="J84" s="1264">
        <v>35.310426865795293</v>
      </c>
      <c r="K84" s="1264">
        <v>32.646054842331829</v>
      </c>
      <c r="L84" s="1264">
        <v>31.270603323746155</v>
      </c>
      <c r="M84" s="1264">
        <v>32.333408111265186</v>
      </c>
      <c r="N84" s="425">
        <v>32.531967328522747</v>
      </c>
      <c r="O84" s="425">
        <v>30.375847510964437</v>
      </c>
      <c r="P84" s="425">
        <v>29.608838806397131</v>
      </c>
      <c r="Q84" s="425">
        <v>30.613737812001109</v>
      </c>
      <c r="R84" s="425">
        <v>31.913362936184004</v>
      </c>
      <c r="S84" s="425">
        <v>35.676198113479494</v>
      </c>
      <c r="T84" s="425">
        <v>35.70939349820582</v>
      </c>
      <c r="U84" s="425">
        <v>39.156255154894751</v>
      </c>
      <c r="V84" s="425">
        <v>38.274125622676522</v>
      </c>
      <c r="W84" s="425">
        <v>40.854986680317879</v>
      </c>
      <c r="X84" s="425">
        <v>39.855541108082335</v>
      </c>
      <c r="Y84" s="425">
        <v>35.876632672014935</v>
      </c>
      <c r="Z84" s="425">
        <v>37.359586125353253</v>
      </c>
      <c r="AA84" s="425">
        <v>39.747293915438568</v>
      </c>
      <c r="AB84" s="425">
        <v>43.955627213312781</v>
      </c>
      <c r="AC84" s="425">
        <v>50.028565633257813</v>
      </c>
      <c r="AD84" s="425">
        <v>45.313255870168881</v>
      </c>
      <c r="AE84" s="425">
        <v>47.367671750024329</v>
      </c>
      <c r="AF84" s="425">
        <v>44.208213616855886</v>
      </c>
    </row>
    <row r="85" spans="1:32">
      <c r="A85" s="21">
        <v>750</v>
      </c>
      <c r="B85" s="21" t="s">
        <v>160</v>
      </c>
      <c r="C85" s="1265">
        <v>9.3526862488821632</v>
      </c>
      <c r="D85" s="1265">
        <v>8.6701208981001727</v>
      </c>
      <c r="E85" s="1265">
        <v>8.2361992892247944</v>
      </c>
      <c r="F85" s="1265">
        <v>7.9443557992673668</v>
      </c>
      <c r="G85" s="1265">
        <v>7.8164866729784812</v>
      </c>
      <c r="H85" s="1265">
        <v>7.7325560729392535</v>
      </c>
      <c r="I85" s="1265">
        <v>7.1022438503760927</v>
      </c>
      <c r="J85" s="1265">
        <v>7.0583271158354774</v>
      </c>
      <c r="K85" s="1265">
        <v>7.5400854119016039</v>
      </c>
      <c r="L85" s="1265">
        <v>8.2455032357018059</v>
      </c>
      <c r="M85" s="1265">
        <v>8.5491482100473295</v>
      </c>
      <c r="N85" s="426">
        <v>8.5911881098897407</v>
      </c>
      <c r="O85" s="426">
        <v>9.6998236758079752</v>
      </c>
      <c r="P85" s="426">
        <v>9.9328370707029876</v>
      </c>
      <c r="Q85" s="426">
        <v>10.308496855568812</v>
      </c>
      <c r="R85" s="426">
        <v>12.162394603851444</v>
      </c>
      <c r="S85" s="426">
        <v>11.679966227023169</v>
      </c>
      <c r="T85" s="426">
        <v>12.070329330691388</v>
      </c>
      <c r="U85" s="426">
        <v>12.833778456931508</v>
      </c>
      <c r="V85" s="426">
        <v>13.611538727533063</v>
      </c>
      <c r="W85" s="426">
        <v>14.152167563931933</v>
      </c>
      <c r="X85" s="426">
        <v>13.648817526652602</v>
      </c>
      <c r="Y85" s="426">
        <v>15.480609363548107</v>
      </c>
      <c r="Z85" s="426">
        <v>16.096515636815372</v>
      </c>
      <c r="AA85" s="426">
        <v>19.306127396475674</v>
      </c>
      <c r="AB85" s="426">
        <v>22.030312919348351</v>
      </c>
      <c r="AC85" s="426">
        <v>24.315015213085676</v>
      </c>
      <c r="AD85" s="426">
        <v>24.461447938864428</v>
      </c>
      <c r="AE85" s="426">
        <v>28.912000684982669</v>
      </c>
      <c r="AF85" s="426">
        <v>24.022188615130123</v>
      </c>
    </row>
    <row r="86" spans="1:32">
      <c r="A86" s="21">
        <v>850</v>
      </c>
      <c r="B86" s="21" t="s">
        <v>176</v>
      </c>
      <c r="C86" s="1266">
        <v>20.21037204356379</v>
      </c>
      <c r="D86" s="1266">
        <v>24.02274601914332</v>
      </c>
      <c r="E86" s="1266">
        <v>24.05784746878199</v>
      </c>
      <c r="F86" s="1266">
        <v>27.860369407476789</v>
      </c>
      <c r="G86" s="1266">
        <v>22.077851719889026</v>
      </c>
      <c r="H86" s="1266">
        <v>20.449332867476379</v>
      </c>
      <c r="I86" s="1266">
        <v>20.486625786718431</v>
      </c>
      <c r="J86" s="1266">
        <v>22.397447358867005</v>
      </c>
      <c r="K86" s="1266">
        <v>21.090231347771574</v>
      </c>
      <c r="L86" s="1266">
        <v>21.406957495621459</v>
      </c>
      <c r="M86" s="1266">
        <v>23.73338032341044</v>
      </c>
      <c r="N86" s="427">
        <v>24.102106543331931</v>
      </c>
      <c r="O86" s="427">
        <v>24.958311668312732</v>
      </c>
      <c r="P86" s="427">
        <v>23.768550646747986</v>
      </c>
      <c r="Q86" s="427">
        <v>25.3656735318608</v>
      </c>
      <c r="R86" s="427">
        <v>27.646424928699968</v>
      </c>
      <c r="S86" s="427">
        <v>26.440191300739556</v>
      </c>
      <c r="T86" s="427">
        <v>28.134633539283616</v>
      </c>
      <c r="U86" s="427">
        <v>43.218058878219153</v>
      </c>
      <c r="V86" s="427">
        <v>27.429784250929341</v>
      </c>
      <c r="W86" s="427">
        <v>30.459575259276679</v>
      </c>
      <c r="X86" s="427">
        <v>30.761072256824605</v>
      </c>
      <c r="Y86" s="427">
        <v>26.391842415448085</v>
      </c>
      <c r="Z86" s="427">
        <v>23.138838283779084</v>
      </c>
      <c r="AA86" s="427">
        <v>27.544598960365413</v>
      </c>
      <c r="AB86" s="427">
        <v>29.920667596890926</v>
      </c>
      <c r="AC86" s="427">
        <v>25.622410500569998</v>
      </c>
      <c r="AD86" s="427">
        <v>25.393531493081113</v>
      </c>
      <c r="AE86" s="427">
        <v>28.737620271380433</v>
      </c>
      <c r="AF86" s="427">
        <v>21.327259731865094</v>
      </c>
    </row>
    <row r="87" spans="1:32">
      <c r="A87" s="21">
        <v>205</v>
      </c>
      <c r="B87" s="21" t="s">
        <v>36</v>
      </c>
      <c r="C87" s="1268">
        <v>59.815296549967641</v>
      </c>
      <c r="D87" s="1268">
        <v>59.462752266734718</v>
      </c>
      <c r="E87" s="1268">
        <v>52.580782422310513</v>
      </c>
      <c r="F87" s="1268">
        <v>52.425024861910906</v>
      </c>
      <c r="G87" s="1268">
        <v>56.774337501646436</v>
      </c>
      <c r="H87" s="1268">
        <v>55.461463247951258</v>
      </c>
      <c r="I87" s="1268">
        <v>49.579999562307073</v>
      </c>
      <c r="J87" s="1268">
        <v>49.867034145464501</v>
      </c>
      <c r="K87" s="1268">
        <v>51.231408587152174</v>
      </c>
      <c r="L87" s="1268">
        <v>55.269014810285057</v>
      </c>
      <c r="M87" s="1268">
        <v>51.95116518425116</v>
      </c>
      <c r="N87" s="429">
        <v>52.503648679865634</v>
      </c>
      <c r="O87" s="429">
        <v>52.794365887431717</v>
      </c>
      <c r="P87" s="429">
        <v>54.957892703071863</v>
      </c>
      <c r="Q87" s="429">
        <v>60.422281712097814</v>
      </c>
      <c r="R87" s="429">
        <v>64.607711739612753</v>
      </c>
      <c r="S87" s="429">
        <v>65.608307678788307</v>
      </c>
      <c r="T87" s="429">
        <v>66.636820446386736</v>
      </c>
      <c r="U87" s="429">
        <v>75.304733691491919</v>
      </c>
      <c r="V87" s="429">
        <v>75.456152602922018</v>
      </c>
      <c r="W87" s="429">
        <v>84.83545274409056</v>
      </c>
      <c r="X87" s="429">
        <v>84.586909224162326</v>
      </c>
      <c r="Y87" s="429">
        <v>76.903639989580313</v>
      </c>
      <c r="Z87" s="429">
        <v>67.758070275409693</v>
      </c>
      <c r="AA87" s="429">
        <v>69.003189111811054</v>
      </c>
      <c r="AB87" s="429">
        <v>69.995847858988327</v>
      </c>
      <c r="AC87" s="429">
        <v>69.910948831368032</v>
      </c>
      <c r="AD87" s="429">
        <v>71.318567887161336</v>
      </c>
      <c r="AE87" s="429">
        <v>73.633145176703479</v>
      </c>
      <c r="AF87" s="429">
        <v>73.607482441372881</v>
      </c>
    </row>
    <row r="88" spans="1:32">
      <c r="A88" s="21">
        <v>630</v>
      </c>
      <c r="B88" s="21" t="s">
        <v>133</v>
      </c>
      <c r="C88" s="1267">
        <v>27.070545677774792</v>
      </c>
      <c r="D88" s="1267">
        <v>25.991988045161975</v>
      </c>
      <c r="E88" s="1267">
        <v>19.531722690234687</v>
      </c>
      <c r="F88" s="1267">
        <v>23.092274364292862</v>
      </c>
      <c r="G88" s="1267">
        <v>15.833450610367331</v>
      </c>
      <c r="H88" s="1267">
        <v>13.554980605728714</v>
      </c>
      <c r="I88" s="1267">
        <v>9.8428010015882741</v>
      </c>
      <c r="J88" s="1267">
        <v>8.219966487717917</v>
      </c>
      <c r="K88" s="1267">
        <v>13.594423187046683</v>
      </c>
      <c r="L88" s="1267">
        <v>17.373891636241392</v>
      </c>
      <c r="M88" s="1267">
        <v>23.135238821762833</v>
      </c>
      <c r="N88" s="428">
        <v>29.59714904727646</v>
      </c>
      <c r="O88" s="428">
        <v>26.633848724668528</v>
      </c>
      <c r="P88" s="428">
        <v>19.838119802765867</v>
      </c>
      <c r="Q88" s="428">
        <v>13.039076552924616</v>
      </c>
      <c r="R88" s="428">
        <v>13.115922863850413</v>
      </c>
      <c r="S88" s="428">
        <v>14.962992201890859</v>
      </c>
      <c r="T88" s="428">
        <v>15.282166661813307</v>
      </c>
      <c r="U88" s="428">
        <v>15.667497505851284</v>
      </c>
      <c r="V88" s="428">
        <v>14.871020721019326</v>
      </c>
      <c r="W88" s="428">
        <v>17.432404185938001</v>
      </c>
      <c r="X88" s="428">
        <v>18.787292777386931</v>
      </c>
      <c r="Y88" s="428">
        <v>22.728033289141067</v>
      </c>
      <c r="Z88" s="428">
        <v>25.703720034366974</v>
      </c>
      <c r="AA88" s="428">
        <v>25.928215005063898</v>
      </c>
      <c r="AB88" s="428">
        <v>24.658234699810851</v>
      </c>
      <c r="AC88" s="428">
        <v>24.414586130104148</v>
      </c>
      <c r="AD88" s="428">
        <v>21.538224512159406</v>
      </c>
      <c r="AE88" s="428"/>
      <c r="AF88" s="428"/>
    </row>
    <row r="89" spans="1:32">
      <c r="A89" s="21">
        <v>645</v>
      </c>
      <c r="B89" s="21" t="s">
        <v>135</v>
      </c>
    </row>
    <row r="90" spans="1:32">
      <c r="A90" s="21">
        <v>666</v>
      </c>
      <c r="B90" s="21" t="s">
        <v>140</v>
      </c>
      <c r="C90" s="1269">
        <v>59.335913701035736</v>
      </c>
      <c r="D90" s="1269">
        <v>59.963866218112152</v>
      </c>
      <c r="E90" s="1269">
        <v>57.686829451639376</v>
      </c>
      <c r="F90" s="1269">
        <v>53.411231032463427</v>
      </c>
      <c r="G90" s="1269">
        <v>55.133577961523827</v>
      </c>
      <c r="H90" s="1269">
        <v>58.269157337705167</v>
      </c>
      <c r="I90" s="1269">
        <v>52.354553575748518</v>
      </c>
      <c r="J90" s="1269">
        <v>57.098920227696823</v>
      </c>
      <c r="K90" s="1269">
        <v>48.159756190515324</v>
      </c>
      <c r="L90" s="1269">
        <v>45.720767736761069</v>
      </c>
      <c r="M90" s="1269">
        <v>45.383677754544664</v>
      </c>
      <c r="N90" s="430">
        <v>45.369471318796883</v>
      </c>
      <c r="O90" s="430">
        <v>44.336519814613567</v>
      </c>
      <c r="P90" s="430">
        <v>48.56626823953399</v>
      </c>
      <c r="Q90" s="430">
        <v>47.964759511425399</v>
      </c>
      <c r="R90" s="430">
        <v>36.74986172566372</v>
      </c>
      <c r="S90" s="430">
        <v>35.598108887633437</v>
      </c>
      <c r="T90" s="430">
        <v>34.29977532898257</v>
      </c>
      <c r="U90" s="430">
        <v>32.640452128933383</v>
      </c>
      <c r="V90" s="430">
        <v>36.889499389499392</v>
      </c>
      <c r="W90" s="430">
        <v>37.382038376848065</v>
      </c>
      <c r="X90" s="430">
        <v>35.374359965220762</v>
      </c>
      <c r="Y90" s="430">
        <v>37.95898546935117</v>
      </c>
      <c r="Z90" s="430">
        <v>37.307479224376735</v>
      </c>
      <c r="AA90" s="430">
        <v>41.237621150023749</v>
      </c>
      <c r="AB90" s="430">
        <v>42.899585062240668</v>
      </c>
      <c r="AC90" s="430">
        <v>42.320535508194205</v>
      </c>
      <c r="AD90" s="430">
        <v>43.992070086441885</v>
      </c>
      <c r="AE90" s="430">
        <v>41.551976170118877</v>
      </c>
      <c r="AF90" s="430">
        <v>32.213384977204072</v>
      </c>
    </row>
    <row r="91" spans="1:32">
      <c r="A91" s="21">
        <v>325</v>
      </c>
      <c r="B91" s="21" t="s">
        <v>53</v>
      </c>
      <c r="C91" s="1270">
        <v>23.720978075197511</v>
      </c>
      <c r="D91" s="1270">
        <v>24.585150388893542</v>
      </c>
      <c r="E91" s="1270">
        <v>23.306407556927198</v>
      </c>
      <c r="F91" s="1270">
        <v>20.671057078313886</v>
      </c>
      <c r="G91" s="1270">
        <v>22.30988649116107</v>
      </c>
      <c r="H91" s="1270">
        <v>22.407231865493682</v>
      </c>
      <c r="I91" s="1270">
        <v>18.175394382409099</v>
      </c>
      <c r="J91" s="1270">
        <v>18.299411607381728</v>
      </c>
      <c r="K91" s="1270">
        <v>18.252103718225964</v>
      </c>
      <c r="L91" s="1270">
        <v>19.296231482230056</v>
      </c>
      <c r="M91" s="1270">
        <v>19.028333667563501</v>
      </c>
      <c r="N91" s="431">
        <v>17.804715950528685</v>
      </c>
      <c r="O91" s="431">
        <v>18.399460460925877</v>
      </c>
      <c r="P91" s="431">
        <v>18.21751471999529</v>
      </c>
      <c r="Q91" s="431">
        <v>19.444904423998626</v>
      </c>
      <c r="R91" s="431">
        <v>21.937097012116435</v>
      </c>
      <c r="S91" s="431">
        <v>20.062372082286373</v>
      </c>
      <c r="T91" s="431">
        <v>21.366004893298975</v>
      </c>
      <c r="U91" s="431">
        <v>22.108659870242757</v>
      </c>
      <c r="V91" s="431">
        <v>22.614481064766828</v>
      </c>
      <c r="W91" s="431">
        <v>26.120237437439197</v>
      </c>
      <c r="X91" s="431">
        <v>25.717830286088216</v>
      </c>
      <c r="Y91" s="431">
        <v>24.766046222068606</v>
      </c>
      <c r="Z91" s="431">
        <v>24.002044905372273</v>
      </c>
      <c r="AA91" s="431">
        <v>24.63407616744135</v>
      </c>
      <c r="AB91" s="431">
        <v>26.016991633698844</v>
      </c>
      <c r="AC91" s="431">
        <v>28.55949715398345</v>
      </c>
      <c r="AD91" s="431">
        <v>29.229259355255145</v>
      </c>
      <c r="AE91" s="431">
        <v>29.450269842545239</v>
      </c>
      <c r="AF91" s="431">
        <v>24.366467828874654</v>
      </c>
    </row>
    <row r="92" spans="1:32">
      <c r="A92" s="21">
        <v>51</v>
      </c>
      <c r="B92" s="21" t="s">
        <v>6</v>
      </c>
      <c r="C92" s="1271">
        <v>51.040202796235889</v>
      </c>
      <c r="D92" s="1271">
        <v>55.806591755226385</v>
      </c>
      <c r="E92" s="1271">
        <v>48.64242903942516</v>
      </c>
      <c r="F92" s="1271">
        <v>43.027510737928075</v>
      </c>
      <c r="G92" s="1271">
        <v>61.610301165533812</v>
      </c>
      <c r="H92" s="1271">
        <v>65.693874157024268</v>
      </c>
      <c r="I92" s="1271">
        <v>45.886521597943442</v>
      </c>
      <c r="J92" s="1271">
        <v>46.267436807099877</v>
      </c>
      <c r="K92" s="1271">
        <v>47.786350179603929</v>
      </c>
      <c r="L92" s="1271">
        <v>52.397984599204186</v>
      </c>
      <c r="M92" s="1271">
        <v>51.876996480340608</v>
      </c>
      <c r="N92" s="432">
        <v>51.39145018853425</v>
      </c>
      <c r="O92" s="432">
        <v>63.219782653998834</v>
      </c>
      <c r="P92" s="432">
        <v>55.628294280007125</v>
      </c>
      <c r="Q92" s="432">
        <v>57.477259779771316</v>
      </c>
      <c r="R92" s="432">
        <v>60.781389141241114</v>
      </c>
      <c r="S92" s="432">
        <v>55.281837026638392</v>
      </c>
      <c r="T92" s="432">
        <v>51.883567412564304</v>
      </c>
      <c r="U92" s="432"/>
      <c r="V92" s="432"/>
      <c r="W92" s="432"/>
      <c r="X92" s="432"/>
      <c r="Y92" s="432"/>
      <c r="Z92" s="432"/>
      <c r="AA92" s="432"/>
      <c r="AB92" s="432"/>
      <c r="AC92" s="432"/>
      <c r="AD92" s="432"/>
      <c r="AE92" s="432">
        <v>69.18950819672132</v>
      </c>
      <c r="AF92" s="432">
        <v>53.323501400560225</v>
      </c>
    </row>
    <row r="93" spans="1:32">
      <c r="A93" s="21">
        <v>663</v>
      </c>
      <c r="B93" s="21" t="s">
        <v>139</v>
      </c>
      <c r="C93" s="1273">
        <v>84.190460052529019</v>
      </c>
      <c r="D93" s="1273">
        <v>97.155107874498057</v>
      </c>
      <c r="E93" s="1273">
        <v>91.452589500911174</v>
      </c>
      <c r="F93" s="1273">
        <v>79.466287526658292</v>
      </c>
      <c r="G93" s="1273">
        <v>76.668012516402541</v>
      </c>
      <c r="H93" s="1273">
        <v>74.383724383724385</v>
      </c>
      <c r="I93" s="1273">
        <v>55.440007395082269</v>
      </c>
      <c r="J93" s="1273">
        <v>59.752784569410487</v>
      </c>
      <c r="K93" s="1273">
        <v>67.112700936230354</v>
      </c>
      <c r="L93" s="1273">
        <v>76.067619408962528</v>
      </c>
      <c r="M93" s="1273">
        <v>92.729453209908925</v>
      </c>
      <c r="N93" s="434">
        <v>82.750166368953799</v>
      </c>
      <c r="O93" s="434">
        <v>81.412033326893834</v>
      </c>
      <c r="P93" s="434">
        <v>80.159038759931946</v>
      </c>
      <c r="Q93" s="434">
        <v>70.461950362340218</v>
      </c>
      <c r="R93" s="434">
        <v>72.863022630067732</v>
      </c>
      <c r="S93" s="434">
        <v>78.169085993521776</v>
      </c>
      <c r="T93" s="434">
        <v>71.46772592452605</v>
      </c>
      <c r="U93" s="434">
        <v>64.242297774905055</v>
      </c>
      <c r="V93" s="434">
        <v>61.147496050728314</v>
      </c>
      <c r="W93" s="434">
        <v>68.476395207385565</v>
      </c>
      <c r="X93" s="434">
        <v>67.113219103858754</v>
      </c>
      <c r="Y93" s="434">
        <v>66.603879094681702</v>
      </c>
      <c r="Z93" s="434">
        <v>68.318488603673373</v>
      </c>
      <c r="AA93" s="434">
        <v>82.434399363591865</v>
      </c>
      <c r="AB93" s="434">
        <v>94.206805173328121</v>
      </c>
      <c r="AC93" s="434">
        <v>84.567818770938004</v>
      </c>
      <c r="AD93" s="434">
        <v>88.376504495206746</v>
      </c>
      <c r="AE93" s="434">
        <v>84.715713968292448</v>
      </c>
      <c r="AF93" s="434">
        <v>64.96062709643428</v>
      </c>
    </row>
    <row r="94" spans="1:32">
      <c r="A94" s="21">
        <v>740</v>
      </c>
      <c r="B94" s="21" t="s">
        <v>159</v>
      </c>
      <c r="C94" s="1272">
        <v>14.42772507018033</v>
      </c>
      <c r="D94" s="1272">
        <v>13.761576476951234</v>
      </c>
      <c r="E94" s="1272">
        <v>13.623905729065195</v>
      </c>
      <c r="F94" s="1272">
        <v>12.017962641326351</v>
      </c>
      <c r="G94" s="1272">
        <v>12.1678396461225</v>
      </c>
      <c r="H94" s="1272">
        <v>10.798093065836429</v>
      </c>
      <c r="I94" s="1272">
        <v>7.2754687506882059</v>
      </c>
      <c r="J94" s="1272">
        <v>7.2335560699347381</v>
      </c>
      <c r="K94" s="1272">
        <v>7.6669584646227156</v>
      </c>
      <c r="L94" s="1272">
        <v>8.7866006765788338</v>
      </c>
      <c r="M94" s="1272">
        <v>9.415467240012557</v>
      </c>
      <c r="N94" s="433">
        <v>8.333848151065844</v>
      </c>
      <c r="O94" s="433">
        <v>7.6730074370380974</v>
      </c>
      <c r="P94" s="433">
        <v>6.8932575140817329</v>
      </c>
      <c r="Q94" s="433">
        <v>7.0399588248794176</v>
      </c>
      <c r="R94" s="433">
        <v>7.7292137679220385</v>
      </c>
      <c r="S94" s="433">
        <v>9.3110299600920214</v>
      </c>
      <c r="T94" s="433">
        <v>9.7579124826600356</v>
      </c>
      <c r="U94" s="433">
        <v>9.0327811902982234</v>
      </c>
      <c r="V94" s="433">
        <v>8.6914417700268842</v>
      </c>
      <c r="W94" s="433">
        <v>9.5310860118662433</v>
      </c>
      <c r="X94" s="433">
        <v>9.9238185669564611</v>
      </c>
      <c r="Y94" s="433">
        <v>10.058207388296077</v>
      </c>
      <c r="Z94" s="433">
        <v>10.382933505203001</v>
      </c>
      <c r="AA94" s="433">
        <v>11.370072426135055</v>
      </c>
      <c r="AB94" s="433">
        <v>12.946431418694832</v>
      </c>
      <c r="AC94" s="433">
        <v>14.862639268628804</v>
      </c>
      <c r="AD94" s="433">
        <v>15.944664847404679</v>
      </c>
      <c r="AE94" s="433">
        <v>17.373991782810901</v>
      </c>
      <c r="AF94" s="433">
        <v>12.246827736916952</v>
      </c>
    </row>
    <row r="95" spans="1:32">
      <c r="A95" s="21">
        <v>501</v>
      </c>
      <c r="B95" s="21" t="s">
        <v>106</v>
      </c>
      <c r="C95" s="1274">
        <v>35.899831723248681</v>
      </c>
      <c r="D95" s="1274">
        <v>33.820304437564495</v>
      </c>
      <c r="E95" s="1274">
        <v>31.558271174001177</v>
      </c>
      <c r="F95" s="1274">
        <v>28.212772969838756</v>
      </c>
      <c r="G95" s="1274">
        <v>32.054004905045346</v>
      </c>
      <c r="H95" s="1274">
        <v>30.146501586335301</v>
      </c>
      <c r="I95" s="1274">
        <v>29.893030300842327</v>
      </c>
      <c r="J95" s="1274">
        <v>26.397546620126601</v>
      </c>
      <c r="K95" s="1274">
        <v>27.603768557828779</v>
      </c>
      <c r="L95" s="1274">
        <v>30.123347820858591</v>
      </c>
      <c r="M95" s="1274">
        <v>31.328307696958262</v>
      </c>
      <c r="N95" s="436">
        <v>28.556066910200745</v>
      </c>
      <c r="O95" s="436">
        <v>26.670495913510273</v>
      </c>
      <c r="P95" s="436">
        <v>33.95485118388455</v>
      </c>
      <c r="Q95" s="436">
        <v>34.225844401599531</v>
      </c>
      <c r="R95" s="436">
        <v>39.154040421934049</v>
      </c>
      <c r="S95" s="436">
        <v>32.111508753292512</v>
      </c>
      <c r="T95" s="436">
        <v>31.370729508161826</v>
      </c>
      <c r="U95" s="436">
        <v>28.727981112546868</v>
      </c>
      <c r="V95" s="436">
        <v>27.359539790402014</v>
      </c>
      <c r="W95" s="436">
        <v>31.72147324446485</v>
      </c>
      <c r="X95" s="436">
        <v>33.015259662964617</v>
      </c>
      <c r="Y95" s="436">
        <v>30.274699649305131</v>
      </c>
      <c r="Z95" s="436">
        <v>30.045450590308032</v>
      </c>
      <c r="AA95" s="436">
        <v>32.866744773131593</v>
      </c>
      <c r="AB95" s="436">
        <v>35.969835949778385</v>
      </c>
      <c r="AC95" s="436">
        <v>36.311940639804149</v>
      </c>
      <c r="AD95" s="436">
        <v>37.027351557424922</v>
      </c>
      <c r="AE95" s="436">
        <v>41.832684856743874</v>
      </c>
      <c r="AF95" s="436">
        <v>38.307065402639331</v>
      </c>
    </row>
    <row r="96" spans="1:32">
      <c r="A96" s="21">
        <v>946</v>
      </c>
      <c r="B96" s="21" t="s">
        <v>182</v>
      </c>
      <c r="C96" s="1275">
        <v>110.20666041658174</v>
      </c>
      <c r="D96" s="1275">
        <v>122.57381484531231</v>
      </c>
      <c r="E96" s="1275">
        <v>116.45634554221812</v>
      </c>
      <c r="F96" s="1275">
        <v>100.55096418732784</v>
      </c>
      <c r="G96" s="1275">
        <v>105.77152835217352</v>
      </c>
      <c r="H96" s="1275">
        <v>125.91827364554638</v>
      </c>
      <c r="I96" s="1275">
        <v>134.7369789128245</v>
      </c>
      <c r="J96" s="1275">
        <v>119.33038719306974</v>
      </c>
      <c r="K96" s="1275">
        <v>114.08486383787206</v>
      </c>
      <c r="L96" s="1275">
        <v>124.65489566613161</v>
      </c>
      <c r="M96" s="1275">
        <v>147.23771324963599</v>
      </c>
      <c r="N96" s="437">
        <v>85.617909644721422</v>
      </c>
      <c r="O96" s="437">
        <v>77.727359294156784</v>
      </c>
      <c r="P96" s="437">
        <v>62.215550552078284</v>
      </c>
      <c r="Q96" s="437">
        <v>60.062092272658482</v>
      </c>
      <c r="R96" s="437">
        <v>71.939919263922832</v>
      </c>
      <c r="S96" s="437">
        <v>68.144981571388271</v>
      </c>
      <c r="T96" s="437">
        <v>62.033547033211633</v>
      </c>
      <c r="U96" s="437">
        <v>51.794394290973699</v>
      </c>
      <c r="V96" s="437">
        <v>52.639514606398222</v>
      </c>
      <c r="W96" s="437">
        <v>46.814259738461672</v>
      </c>
      <c r="X96" s="437">
        <v>50.41673755857461</v>
      </c>
      <c r="Y96" s="437">
        <v>51.71240264508188</v>
      </c>
      <c r="Z96" s="437">
        <v>74.274780564127127</v>
      </c>
      <c r="AA96" s="437">
        <v>76.480577799670186</v>
      </c>
      <c r="AB96" s="437"/>
      <c r="AC96" s="437"/>
      <c r="AD96" s="437"/>
      <c r="AE96" s="437"/>
      <c r="AF96" s="437"/>
    </row>
    <row r="97" spans="1:33" s="171" customFormat="1">
      <c r="A97" s="171">
        <v>347</v>
      </c>
      <c r="B97" s="171" t="s">
        <v>196</v>
      </c>
      <c r="C97" s="534"/>
      <c r="D97" s="534"/>
      <c r="E97" s="534"/>
      <c r="F97" s="534"/>
      <c r="G97" s="534"/>
      <c r="H97" s="534"/>
      <c r="I97" s="534"/>
      <c r="J97" s="534"/>
      <c r="K97" s="534"/>
      <c r="L97" s="534"/>
      <c r="M97" s="534"/>
      <c r="N97" s="439"/>
      <c r="O97" s="439"/>
      <c r="P97" s="439"/>
      <c r="Q97" s="439"/>
      <c r="R97" s="439"/>
      <c r="S97" s="439"/>
      <c r="T97" s="439"/>
      <c r="U97" s="439"/>
      <c r="V97" s="439"/>
      <c r="W97" s="439"/>
      <c r="X97" s="439"/>
      <c r="Y97" s="439"/>
      <c r="Z97" s="439"/>
      <c r="AA97" s="439"/>
      <c r="AB97" s="439"/>
      <c r="AC97" s="439">
        <v>50.76483981656672</v>
      </c>
      <c r="AD97" s="439">
        <v>53.654061780605659</v>
      </c>
      <c r="AE97" s="439">
        <v>56.405726311413652</v>
      </c>
      <c r="AF97" s="439">
        <v>54.368786231175278</v>
      </c>
      <c r="AG97"/>
    </row>
    <row r="98" spans="1:33">
      <c r="A98" s="21">
        <v>690</v>
      </c>
      <c r="B98" s="21" t="s">
        <v>143</v>
      </c>
      <c r="C98" s="1277">
        <v>34.297894304974072</v>
      </c>
      <c r="D98" s="1277">
        <v>38.478054426438426</v>
      </c>
      <c r="E98" s="1277">
        <v>52.363859654154588</v>
      </c>
      <c r="F98" s="1277">
        <v>49.352172863202711</v>
      </c>
      <c r="G98" s="1277">
        <v>44.641120951024185</v>
      </c>
      <c r="H98" s="1277">
        <v>42.744582890356604</v>
      </c>
      <c r="I98" s="1277">
        <v>48.012515181950171</v>
      </c>
      <c r="J98" s="1277">
        <v>37.123011402629089</v>
      </c>
      <c r="K98" s="1277">
        <v>42.93979281789882</v>
      </c>
      <c r="L98" s="1277">
        <v>41.369751380136314</v>
      </c>
      <c r="M98" s="1277">
        <v>58.072050648176067</v>
      </c>
      <c r="N98" s="440">
        <v>125.71091368314219</v>
      </c>
      <c r="O98" s="440">
        <v>54.217798197046484</v>
      </c>
      <c r="P98" s="440">
        <v>44.285849842228401</v>
      </c>
      <c r="Q98" s="440">
        <v>42.33062477461246</v>
      </c>
      <c r="R98" s="440">
        <v>41.964505003697312</v>
      </c>
      <c r="S98" s="440">
        <v>39.186367112707728</v>
      </c>
      <c r="T98" s="440">
        <v>39.591592201162221</v>
      </c>
      <c r="U98" s="440">
        <v>51.093320778797214</v>
      </c>
      <c r="V98" s="440">
        <v>39.436803497844842</v>
      </c>
      <c r="W98" s="440">
        <v>30.146931719965426</v>
      </c>
      <c r="X98" s="440">
        <v>35.538735295766749</v>
      </c>
      <c r="Y98" s="440">
        <v>36.609146367558239</v>
      </c>
      <c r="Z98" s="440">
        <v>34.464148033924438</v>
      </c>
      <c r="AA98" s="440">
        <v>32.379973739795624</v>
      </c>
      <c r="AB98" s="440">
        <v>28.26685881405502</v>
      </c>
      <c r="AC98" s="440">
        <v>24.166949440108585</v>
      </c>
      <c r="AD98" s="440">
        <v>28.312772356226603</v>
      </c>
      <c r="AE98" s="440">
        <v>25.641541206926888</v>
      </c>
      <c r="AF98" s="440"/>
    </row>
    <row r="99" spans="1:33">
      <c r="A99" s="21">
        <v>703</v>
      </c>
      <c r="B99" s="21" t="s">
        <v>151</v>
      </c>
      <c r="C99" s="1278"/>
      <c r="D99" s="1278"/>
      <c r="E99" s="1278"/>
      <c r="F99" s="1278"/>
      <c r="G99" s="1278"/>
      <c r="H99" s="1278"/>
      <c r="I99" s="1278"/>
      <c r="J99" s="1278"/>
      <c r="K99" s="1278"/>
      <c r="L99" s="1278"/>
      <c r="M99" s="1278">
        <v>49.551234106207929</v>
      </c>
      <c r="N99" s="441">
        <v>36.628849270664503</v>
      </c>
      <c r="O99" s="441">
        <v>47.592070043094893</v>
      </c>
      <c r="P99" s="441">
        <v>41.175042486040304</v>
      </c>
      <c r="Q99" s="441">
        <v>40.068390575079874</v>
      </c>
      <c r="R99" s="441">
        <v>42.358981982149388</v>
      </c>
      <c r="S99" s="441">
        <v>56.557674802237678</v>
      </c>
      <c r="T99" s="441">
        <v>46.190244967525587</v>
      </c>
      <c r="U99" s="441">
        <v>58.026002445774608</v>
      </c>
      <c r="V99" s="441">
        <v>56.99652886658653</v>
      </c>
      <c r="W99" s="441">
        <v>47.58290743113119</v>
      </c>
      <c r="X99" s="441">
        <v>37.022439441660019</v>
      </c>
      <c r="Y99" s="441">
        <v>43.339441602605206</v>
      </c>
      <c r="Z99" s="441">
        <v>45.251548482946049</v>
      </c>
      <c r="AA99" s="441">
        <v>51.259804229815664</v>
      </c>
      <c r="AB99" s="441">
        <v>57.709179061875616</v>
      </c>
      <c r="AC99" s="441">
        <v>79.029807530924842</v>
      </c>
      <c r="AD99" s="441">
        <v>88.525043041571521</v>
      </c>
      <c r="AE99" s="441">
        <v>92.099606419212748</v>
      </c>
      <c r="AF99" s="441">
        <v>80.759530846865104</v>
      </c>
    </row>
    <row r="100" spans="1:33">
      <c r="A100" s="21">
        <v>705</v>
      </c>
      <c r="B100" s="21" t="s">
        <v>153</v>
      </c>
      <c r="N100" s="435"/>
      <c r="O100" s="435">
        <v>75.331672305140955</v>
      </c>
      <c r="P100" s="435">
        <v>46.739126740554191</v>
      </c>
      <c r="Q100" s="435">
        <v>47.11700129974156</v>
      </c>
      <c r="R100" s="435">
        <v>43.548546130409491</v>
      </c>
      <c r="S100" s="435">
        <v>36.004768357005482</v>
      </c>
      <c r="T100" s="435">
        <v>37.442694028768479</v>
      </c>
      <c r="U100" s="435">
        <v>34.859979454941502</v>
      </c>
      <c r="V100" s="435">
        <v>40.117055846933056</v>
      </c>
      <c r="W100" s="435">
        <v>49.097265834983908</v>
      </c>
      <c r="X100" s="435">
        <v>46.954049896060511</v>
      </c>
      <c r="Y100" s="435">
        <v>47.041044893604614</v>
      </c>
      <c r="Z100" s="435">
        <v>43.046310330413093</v>
      </c>
      <c r="AA100" s="435">
        <v>43.90878927591146</v>
      </c>
      <c r="AB100" s="435">
        <v>44.725980913086701</v>
      </c>
      <c r="AC100" s="435">
        <v>40.478239724969463</v>
      </c>
      <c r="AD100" s="435">
        <v>42.750721139965357</v>
      </c>
      <c r="AE100" s="435">
        <v>37.053306790455906</v>
      </c>
      <c r="AF100" s="435">
        <v>33.785106781672972</v>
      </c>
    </row>
    <row r="101" spans="1:33">
      <c r="A101" s="21">
        <v>812</v>
      </c>
      <c r="B101" s="21" t="s">
        <v>170</v>
      </c>
      <c r="C101" s="1279"/>
      <c r="D101" s="1279"/>
      <c r="E101" s="1279"/>
      <c r="F101" s="1279"/>
      <c r="G101" s="1279">
        <v>6.3414635994130526</v>
      </c>
      <c r="H101" s="1279">
        <v>9.7652584272221166</v>
      </c>
      <c r="I101" s="1279">
        <v>7.7014217779474841</v>
      </c>
      <c r="J101" s="1279">
        <v>14.023108538662541</v>
      </c>
      <c r="K101" s="1279">
        <v>31.899486813776097</v>
      </c>
      <c r="L101" s="1279">
        <v>31.996156785156217</v>
      </c>
      <c r="M101" s="1279">
        <v>24.518445185650034</v>
      </c>
      <c r="N101" s="442">
        <v>25.228595159851363</v>
      </c>
      <c r="O101" s="442">
        <v>27.105003181855587</v>
      </c>
      <c r="P101" s="442">
        <v>31.167192746411921</v>
      </c>
      <c r="Q101" s="442">
        <v>39.822329283684041</v>
      </c>
      <c r="R101" s="442">
        <v>37.334077223028551</v>
      </c>
      <c r="S101" s="442">
        <v>41.058423987552146</v>
      </c>
      <c r="T101" s="442">
        <v>41.264745972742141</v>
      </c>
      <c r="U101" s="442">
        <v>47.813667754211998</v>
      </c>
      <c r="V101" s="442">
        <v>44.182614639942031</v>
      </c>
      <c r="W101" s="442">
        <v>44.058647555120032</v>
      </c>
      <c r="X101" s="442">
        <v>37.486019861841733</v>
      </c>
      <c r="Y101" s="442">
        <v>35.455121035746558</v>
      </c>
      <c r="Z101" s="442">
        <v>34.709287567220542</v>
      </c>
      <c r="AA101" s="442">
        <v>44.304843005408614</v>
      </c>
      <c r="AB101" s="442">
        <v>48.796249294328362</v>
      </c>
      <c r="AC101" s="442">
        <v>46.629292545244553</v>
      </c>
      <c r="AD101" s="442">
        <v>50.913832546574213</v>
      </c>
      <c r="AE101" s="442">
        <v>44.372543650053224</v>
      </c>
      <c r="AF101" s="442"/>
    </row>
    <row r="102" spans="1:33">
      <c r="A102" s="21">
        <v>367</v>
      </c>
      <c r="B102" s="21" t="s">
        <v>69</v>
      </c>
      <c r="C102" s="1280"/>
      <c r="D102" s="1280"/>
      <c r="E102" s="1280"/>
      <c r="F102" s="1280"/>
      <c r="G102" s="1280"/>
      <c r="H102" s="1280"/>
      <c r="I102" s="1280"/>
      <c r="J102" s="1280"/>
      <c r="K102" s="1280"/>
      <c r="L102" s="1280"/>
      <c r="M102" s="1280">
        <v>49.023062139654066</v>
      </c>
      <c r="N102" s="443">
        <v>25.487528344671201</v>
      </c>
      <c r="O102" s="443">
        <v>73.066403332032593</v>
      </c>
      <c r="P102" s="443">
        <v>56.980231765507838</v>
      </c>
      <c r="Q102" s="443">
        <v>44.391676866585065</v>
      </c>
      <c r="R102" s="443">
        <v>44.874229681020118</v>
      </c>
      <c r="S102" s="443">
        <v>54.250512011963202</v>
      </c>
      <c r="T102" s="443">
        <v>54.654915939262963</v>
      </c>
      <c r="U102" s="443">
        <v>59.617207717338395</v>
      </c>
      <c r="V102" s="443">
        <v>49.59901561639802</v>
      </c>
      <c r="W102" s="443">
        <v>48.674358354754489</v>
      </c>
      <c r="X102" s="443">
        <v>51.10821961476686</v>
      </c>
      <c r="Y102" s="443">
        <v>50.620623184693471</v>
      </c>
      <c r="Z102" s="443">
        <v>54.646039640356669</v>
      </c>
      <c r="AA102" s="443">
        <v>59.572633040704801</v>
      </c>
      <c r="AB102" s="443">
        <v>62.23355520967867</v>
      </c>
      <c r="AC102" s="443">
        <v>66.349493352219071</v>
      </c>
      <c r="AD102" s="443">
        <v>62.379184838996018</v>
      </c>
      <c r="AE102" s="443">
        <v>54.814267719438384</v>
      </c>
      <c r="AF102" s="443">
        <v>43.11105070822385</v>
      </c>
    </row>
    <row r="103" spans="1:33">
      <c r="A103" s="21">
        <v>450</v>
      </c>
      <c r="B103" s="21" t="s">
        <v>94</v>
      </c>
      <c r="C103" s="1283">
        <v>64.388392447262433</v>
      </c>
      <c r="D103" s="1283">
        <v>59.990935707180491</v>
      </c>
      <c r="E103" s="1283">
        <v>58.349021109489414</v>
      </c>
      <c r="F103" s="1283">
        <v>55.539338949751219</v>
      </c>
      <c r="G103" s="1283">
        <v>45.604416911391759</v>
      </c>
      <c r="H103" s="1283">
        <v>43.316692646135543</v>
      </c>
      <c r="I103" s="1283">
        <v>39.830068691666739</v>
      </c>
      <c r="J103" s="1283"/>
      <c r="K103" s="1283"/>
      <c r="L103" s="1283"/>
      <c r="M103" s="1283"/>
      <c r="N103" s="446"/>
      <c r="O103" s="446"/>
      <c r="P103" s="446"/>
      <c r="Q103" s="446"/>
      <c r="R103" s="446"/>
      <c r="S103" s="446"/>
      <c r="T103" s="446">
        <v>71.983778303480904</v>
      </c>
      <c r="U103" s="446">
        <v>39.349275778222228</v>
      </c>
      <c r="V103" s="446">
        <v>41.67043723094627</v>
      </c>
      <c r="W103" s="446">
        <v>25.993937559970419</v>
      </c>
      <c r="X103" s="446">
        <v>31.553939430920629</v>
      </c>
      <c r="Y103" s="446">
        <v>27.946593252999531</v>
      </c>
      <c r="Z103" s="446">
        <v>44.90291607035067</v>
      </c>
      <c r="AA103" s="446">
        <v>51.155204212655072</v>
      </c>
      <c r="AB103" s="446">
        <v>51.911319520755839</v>
      </c>
      <c r="AC103" s="446">
        <v>83.235294117647058</v>
      </c>
      <c r="AD103" s="446">
        <v>190.86441600871223</v>
      </c>
      <c r="AE103" s="446">
        <v>172.60765550239233</v>
      </c>
      <c r="AF103" s="446"/>
    </row>
    <row r="104" spans="1:33">
      <c r="A104" s="21">
        <v>660</v>
      </c>
      <c r="B104" s="21" t="s">
        <v>138</v>
      </c>
      <c r="C104" s="1281"/>
      <c r="D104" s="1281"/>
      <c r="E104" s="1281"/>
      <c r="F104" s="1281"/>
      <c r="G104" s="1281"/>
      <c r="H104" s="1281"/>
      <c r="I104" s="1281"/>
      <c r="J104" s="1281"/>
      <c r="K104" s="1281"/>
      <c r="L104" s="1281">
        <v>91.576760177958874</v>
      </c>
      <c r="M104" s="1281">
        <v>99.914022611747527</v>
      </c>
      <c r="N104" s="444">
        <v>84.216406090749658</v>
      </c>
      <c r="O104" s="444">
        <v>75.857985559477527</v>
      </c>
      <c r="P104" s="444">
        <v>70.802101978682145</v>
      </c>
      <c r="Q104" s="444">
        <v>62.401506738889537</v>
      </c>
      <c r="R104" s="444">
        <v>62.328932117731171</v>
      </c>
      <c r="S104" s="444">
        <v>55.250292758585132</v>
      </c>
      <c r="T104" s="444">
        <v>47.554639175257734</v>
      </c>
      <c r="U104" s="444">
        <v>40.953764962331256</v>
      </c>
      <c r="V104" s="444">
        <v>36.750181138695041</v>
      </c>
      <c r="W104" s="444">
        <v>35.937740199846274</v>
      </c>
      <c r="X104" s="444">
        <v>39.951892359153604</v>
      </c>
      <c r="Y104" s="444">
        <v>34.943890274314214</v>
      </c>
      <c r="Z104" s="444">
        <v>37.354252683732454</v>
      </c>
      <c r="AA104" s="444">
        <v>41.657031582790729</v>
      </c>
      <c r="AB104" s="444">
        <v>42.64017981896604</v>
      </c>
      <c r="AC104" s="444">
        <v>42.144631031220435</v>
      </c>
      <c r="AD104" s="444">
        <v>48.190506446403511</v>
      </c>
      <c r="AE104" s="444">
        <v>53.749667582661111</v>
      </c>
      <c r="AF104" s="444">
        <v>47.016593647294101</v>
      </c>
    </row>
    <row r="105" spans="1:33">
      <c r="A105" s="21">
        <v>570</v>
      </c>
      <c r="B105" s="21" t="s">
        <v>121</v>
      </c>
      <c r="C105" s="1282">
        <v>110.08628384409403</v>
      </c>
      <c r="D105" s="1282">
        <v>117.00787401574803</v>
      </c>
      <c r="E105" s="1282">
        <v>122.81851512373969</v>
      </c>
      <c r="F105" s="1282">
        <v>127.45329954906592</v>
      </c>
      <c r="G105" s="1282">
        <v>130.89593583997413</v>
      </c>
      <c r="H105" s="1282">
        <v>123.99319591457754</v>
      </c>
      <c r="I105" s="1282">
        <v>119.3541034791216</v>
      </c>
      <c r="J105" s="1282">
        <v>134.30947093857625</v>
      </c>
      <c r="K105" s="1282">
        <v>142.87759096531371</v>
      </c>
      <c r="L105" s="1282">
        <v>140.24762371541954</v>
      </c>
      <c r="M105" s="1282">
        <v>123.23322183761543</v>
      </c>
      <c r="N105" s="445">
        <v>147.65271365289146</v>
      </c>
      <c r="O105" s="445">
        <v>136.60612565740283</v>
      </c>
      <c r="P105" s="445">
        <v>128.94658402665235</v>
      </c>
      <c r="Q105" s="445">
        <v>124.61952574845776</v>
      </c>
      <c r="R105" s="445">
        <v>127.92351204822995</v>
      </c>
      <c r="S105" s="445">
        <v>132.37445828107221</v>
      </c>
      <c r="T105" s="445">
        <v>128.46468820048597</v>
      </c>
      <c r="U105" s="445">
        <v>111.96576646943124</v>
      </c>
      <c r="V105" s="445">
        <v>107.376064811831</v>
      </c>
      <c r="W105" s="445">
        <v>103.38415140644688</v>
      </c>
      <c r="X105" s="445">
        <v>105.59728695264363</v>
      </c>
      <c r="Y105" s="445">
        <v>126.59423639868646</v>
      </c>
      <c r="Z105" s="445">
        <v>113.21767046461306</v>
      </c>
      <c r="AA105" s="445">
        <v>112.00565767873935</v>
      </c>
      <c r="AB105" s="445">
        <v>107.25468630126431</v>
      </c>
      <c r="AC105" s="445">
        <v>103.19993566262922</v>
      </c>
      <c r="AD105" s="445">
        <v>108.62738055455195</v>
      </c>
      <c r="AE105" s="445">
        <v>112.6796090317292</v>
      </c>
      <c r="AF105" s="445">
        <v>111.73845837143284</v>
      </c>
    </row>
    <row r="106" spans="1:33">
      <c r="A106" s="21">
        <v>620</v>
      </c>
      <c r="B106" s="21" t="s">
        <v>131</v>
      </c>
      <c r="C106" s="1284"/>
      <c r="D106" s="1284"/>
      <c r="E106" s="1284"/>
      <c r="F106" s="1284"/>
      <c r="G106" s="1284"/>
      <c r="H106" s="1284"/>
      <c r="I106" s="1284"/>
      <c r="J106" s="1284"/>
      <c r="K106" s="1284"/>
      <c r="L106" s="1284"/>
      <c r="M106" s="1284">
        <v>31.121563836285887</v>
      </c>
      <c r="N106" s="447">
        <v>30.764948224028505</v>
      </c>
      <c r="O106" s="447">
        <v>25.469028403731265</v>
      </c>
      <c r="P106" s="447">
        <v>31.547363909129878</v>
      </c>
      <c r="Q106" s="447">
        <v>26.117186716163339</v>
      </c>
      <c r="R106" s="447">
        <v>22.415730337078653</v>
      </c>
      <c r="S106" s="447">
        <v>23.891625615763548</v>
      </c>
      <c r="T106" s="447">
        <v>21.846066859848754</v>
      </c>
      <c r="U106" s="447">
        <v>20.883691728143152</v>
      </c>
      <c r="V106" s="447">
        <v>17.207723318480799</v>
      </c>
      <c r="W106" s="447">
        <v>15.494052933214297</v>
      </c>
      <c r="X106" s="447">
        <v>19.963945103512444</v>
      </c>
      <c r="Y106" s="447">
        <v>35.19047619047619</v>
      </c>
      <c r="Z106" s="447">
        <v>36.668177165136086</v>
      </c>
      <c r="AA106" s="447">
        <v>32.119009092966174</v>
      </c>
      <c r="AB106" s="447">
        <v>28.301095743846673</v>
      </c>
      <c r="AC106" s="447">
        <v>25.464524027447993</v>
      </c>
      <c r="AD106" s="447">
        <v>29.350286383384589</v>
      </c>
      <c r="AE106" s="447">
        <v>27.465658659513071</v>
      </c>
      <c r="AF106" s="447"/>
    </row>
    <row r="107" spans="1:33">
      <c r="A107" s="21">
        <v>223</v>
      </c>
      <c r="B107" s="21" t="s">
        <v>42</v>
      </c>
    </row>
    <row r="108" spans="1:33">
      <c r="A108" s="21">
        <v>368</v>
      </c>
      <c r="B108" s="21" t="s">
        <v>70</v>
      </c>
      <c r="C108" s="1285"/>
      <c r="D108" s="1285"/>
      <c r="E108" s="1285"/>
      <c r="F108" s="1285"/>
      <c r="G108" s="1285"/>
      <c r="H108" s="1285"/>
      <c r="I108" s="1285"/>
      <c r="J108" s="1285"/>
      <c r="K108" s="1285"/>
      <c r="L108" s="1285"/>
      <c r="M108" s="1285">
        <v>60.67164179104477</v>
      </c>
      <c r="N108" s="448">
        <v>21.036144578313255</v>
      </c>
      <c r="O108" s="448">
        <v>19.92953611274222</v>
      </c>
      <c r="P108" s="448">
        <v>90.357203382226061</v>
      </c>
      <c r="Q108" s="448">
        <v>61.396117747278758</v>
      </c>
      <c r="R108" s="448">
        <v>57.971949428770927</v>
      </c>
      <c r="S108" s="448">
        <v>59.169472669878722</v>
      </c>
      <c r="T108" s="448">
        <v>61.580214005746051</v>
      </c>
      <c r="U108" s="448">
        <v>56.408581799441095</v>
      </c>
      <c r="V108" s="448">
        <v>48.648186758724407</v>
      </c>
      <c r="W108" s="448">
        <v>51.022590124363752</v>
      </c>
      <c r="X108" s="448">
        <v>55.30286675343207</v>
      </c>
      <c r="Y108" s="448">
        <v>58.42181981597885</v>
      </c>
      <c r="Z108" s="448">
        <v>56.981639553787431</v>
      </c>
      <c r="AA108" s="448">
        <v>59.130782898283506</v>
      </c>
      <c r="AB108" s="448">
        <v>64.645769382351475</v>
      </c>
      <c r="AC108" s="448">
        <v>69.261215951145502</v>
      </c>
      <c r="AD108" s="448">
        <v>67.434789614985846</v>
      </c>
      <c r="AE108" s="448">
        <v>71.672606954408622</v>
      </c>
      <c r="AF108" s="448"/>
    </row>
    <row r="109" spans="1:33">
      <c r="A109" s="21">
        <v>212</v>
      </c>
      <c r="B109" s="21" t="s">
        <v>39</v>
      </c>
      <c r="C109" s="1286">
        <v>83.819931370926327</v>
      </c>
      <c r="D109" s="1286">
        <v>84.100663011999444</v>
      </c>
      <c r="E109" s="1286">
        <v>85.151388446556069</v>
      </c>
      <c r="F109" s="1286">
        <v>84.595770141561772</v>
      </c>
      <c r="G109" s="1286">
        <v>93.36715824349649</v>
      </c>
      <c r="H109" s="1286">
        <v>97.151974117073848</v>
      </c>
      <c r="I109" s="1286">
        <v>88.399804354984354</v>
      </c>
      <c r="J109" s="1286">
        <v>90.091423664272085</v>
      </c>
      <c r="K109" s="1286">
        <v>90.015689431648156</v>
      </c>
      <c r="L109" s="1286">
        <v>89.32921196348704</v>
      </c>
      <c r="M109" s="1286">
        <v>88.228028372349272</v>
      </c>
      <c r="N109" s="449">
        <v>89.189465642919501</v>
      </c>
      <c r="O109" s="449">
        <v>84.072290348425966</v>
      </c>
      <c r="P109" s="449">
        <v>82.6593848042926</v>
      </c>
      <c r="Q109" s="449">
        <v>83.769794787174689</v>
      </c>
      <c r="R109" s="449">
        <v>85.190896276050111</v>
      </c>
      <c r="S109" s="449">
        <v>90.899307445906089</v>
      </c>
      <c r="T109" s="449">
        <v>103.59058992612982</v>
      </c>
      <c r="U109" s="449">
        <v>111.05222055057251</v>
      </c>
      <c r="V109" s="449">
        <v>115.01498481404751</v>
      </c>
      <c r="W109" s="449">
        <v>128.99148205048954</v>
      </c>
      <c r="X109" s="449">
        <v>129.01033567691374</v>
      </c>
      <c r="Y109" s="449">
        <v>121.0742613255086</v>
      </c>
      <c r="Z109" s="449">
        <v>113.22698892557568</v>
      </c>
      <c r="AA109" s="449">
        <v>128.15424007226133</v>
      </c>
      <c r="AB109" s="449">
        <v>130.31969170109272</v>
      </c>
      <c r="AC109" s="449">
        <v>138.13425318590706</v>
      </c>
      <c r="AD109" s="449">
        <v>143.72280853471699</v>
      </c>
      <c r="AE109" s="449">
        <v>146.99250795458013</v>
      </c>
      <c r="AF109" s="449">
        <v>136.16689511544632</v>
      </c>
    </row>
    <row r="110" spans="1:33">
      <c r="A110" s="21">
        <v>435</v>
      </c>
      <c r="B110" s="21" t="s">
        <v>89</v>
      </c>
      <c r="C110" s="1294">
        <v>66.656427190847296</v>
      </c>
      <c r="D110" s="1294">
        <v>74.945331863875609</v>
      </c>
      <c r="E110" s="1294">
        <v>84.703120692466328</v>
      </c>
      <c r="F110" s="1294">
        <v>76.302874792472466</v>
      </c>
      <c r="G110" s="1294">
        <v>73.137711301978911</v>
      </c>
      <c r="H110" s="1294">
        <v>80.788022668930054</v>
      </c>
      <c r="I110" s="1294">
        <v>79.312994153108164</v>
      </c>
      <c r="J110" s="1294">
        <v>66.584644289792251</v>
      </c>
      <c r="K110" s="1294">
        <v>63.028603613743883</v>
      </c>
      <c r="L110" s="1294">
        <v>56.740499211822637</v>
      </c>
      <c r="M110" s="1294">
        <v>60.731680381132477</v>
      </c>
      <c r="N110" s="457">
        <v>52.298415093538587</v>
      </c>
      <c r="O110" s="457">
        <v>42.219044091179562</v>
      </c>
      <c r="P110" s="457">
        <v>45.063376409025686</v>
      </c>
      <c r="Q110" s="457">
        <v>35.701671751278091</v>
      </c>
      <c r="R110" s="457">
        <v>44.912251014524735</v>
      </c>
      <c r="S110" s="457">
        <v>44.597607716176348</v>
      </c>
      <c r="T110" s="457">
        <v>38.225385047240742</v>
      </c>
      <c r="U110" s="457">
        <v>59.956613535071732</v>
      </c>
      <c r="V110" s="457">
        <v>55.277815595110027</v>
      </c>
      <c r="W110" s="457">
        <v>74.242150144547892</v>
      </c>
      <c r="X110" s="457">
        <v>52.680247234655475</v>
      </c>
      <c r="Y110" s="457">
        <v>56.245094609865355</v>
      </c>
      <c r="Z110" s="457">
        <v>58.607299933860347</v>
      </c>
      <c r="AA110" s="457">
        <v>80.030330417275678</v>
      </c>
      <c r="AB110" s="457">
        <v>95.705045885942965</v>
      </c>
      <c r="AC110" s="457">
        <v>61.586948039827597</v>
      </c>
      <c r="AD110" s="457">
        <v>68.887465393931834</v>
      </c>
      <c r="AE110" s="457">
        <v>76.561201272812411</v>
      </c>
      <c r="AF110" s="457">
        <v>67.55077370795965</v>
      </c>
    </row>
    <row r="111" spans="1:33">
      <c r="A111" s="21">
        <v>343</v>
      </c>
      <c r="B111" s="21" t="s">
        <v>57</v>
      </c>
      <c r="C111" s="1287"/>
      <c r="D111" s="1287"/>
      <c r="E111" s="1287"/>
      <c r="F111" s="1287"/>
      <c r="G111" s="1287"/>
      <c r="H111" s="1287"/>
      <c r="I111" s="1287"/>
      <c r="J111" s="1287"/>
      <c r="K111" s="1287"/>
      <c r="L111" s="1287"/>
      <c r="M111" s="1287">
        <v>35.857379630233247</v>
      </c>
      <c r="N111" s="450">
        <v>25.879348381277374</v>
      </c>
      <c r="O111" s="450">
        <v>53.352422289309608</v>
      </c>
      <c r="P111" s="450">
        <v>54.694182028842455</v>
      </c>
      <c r="Q111" s="450">
        <v>48.409592316733921</v>
      </c>
      <c r="R111" s="450">
        <v>42.768101975337167</v>
      </c>
      <c r="S111" s="450">
        <v>38.516996243151738</v>
      </c>
      <c r="T111" s="450">
        <v>50.849825807854067</v>
      </c>
      <c r="U111" s="450">
        <v>56.085459448422213</v>
      </c>
      <c r="V111" s="450">
        <v>52.153740876728747</v>
      </c>
      <c r="W111" s="450">
        <v>63.522568636575151</v>
      </c>
      <c r="X111" s="450">
        <v>56.611543741260085</v>
      </c>
      <c r="Y111" s="450">
        <v>58.155558597826449</v>
      </c>
      <c r="Z111" s="450">
        <v>54.826908853773169</v>
      </c>
      <c r="AA111" s="450">
        <v>61.855767266059303</v>
      </c>
      <c r="AB111" s="450">
        <v>62.81858495075344</v>
      </c>
      <c r="AC111" s="450">
        <v>66.752649437949273</v>
      </c>
      <c r="AD111" s="450">
        <v>72.27749681857091</v>
      </c>
      <c r="AE111" s="450">
        <v>78.607385918772962</v>
      </c>
      <c r="AF111" s="450">
        <v>67.265607727123722</v>
      </c>
    </row>
    <row r="112" spans="1:33">
      <c r="A112" s="21">
        <v>781</v>
      </c>
      <c r="B112" s="21" t="s">
        <v>166</v>
      </c>
      <c r="C112" s="1291">
        <v>205.11696818465376</v>
      </c>
      <c r="D112" s="1291">
        <v>209.01508429458738</v>
      </c>
      <c r="E112" s="1291">
        <v>195.46959557753857</v>
      </c>
      <c r="F112" s="1291">
        <v>166.86902133922001</v>
      </c>
      <c r="G112" s="1291">
        <v>86.937823834196891</v>
      </c>
      <c r="H112" s="1291">
        <v>66.847585290208244</v>
      </c>
      <c r="I112" s="1291">
        <v>60.74610684013404</v>
      </c>
      <c r="J112" s="1291">
        <v>67.176813819577745</v>
      </c>
      <c r="K112" s="1291">
        <v>68.679005674142118</v>
      </c>
      <c r="L112" s="1291">
        <v>73.970351348196544</v>
      </c>
      <c r="M112" s="1291">
        <v>82.626631614819161</v>
      </c>
      <c r="N112" s="454">
        <v>82.861551400750258</v>
      </c>
      <c r="O112" s="454">
        <v>83.306021455378783</v>
      </c>
      <c r="P112" s="454">
        <v>79.725348837999263</v>
      </c>
      <c r="Q112" s="454">
        <v>79.21026698426553</v>
      </c>
      <c r="R112" s="454">
        <v>77.198100551521478</v>
      </c>
      <c r="S112" s="454">
        <v>73.095642331635531</v>
      </c>
      <c r="T112" s="454">
        <v>78.455410503495941</v>
      </c>
      <c r="U112" s="454">
        <v>75.780969765926315</v>
      </c>
      <c r="V112" s="454">
        <v>79.925494595736396</v>
      </c>
      <c r="W112" s="454">
        <v>71.618306220402573</v>
      </c>
      <c r="X112" s="454">
        <v>69.970714064146776</v>
      </c>
      <c r="Y112" s="454">
        <v>65.637799170832821</v>
      </c>
      <c r="Z112" s="454">
        <v>65.496804693670313</v>
      </c>
      <c r="AA112" s="454">
        <v>80.78279837005735</v>
      </c>
      <c r="AB112" s="454">
        <v>99.297697197040748</v>
      </c>
      <c r="AC112" s="454">
        <v>102.7869834113681</v>
      </c>
      <c r="AD112" s="454">
        <v>103.97489824992591</v>
      </c>
      <c r="AE112" s="454">
        <v>110.14897944801933</v>
      </c>
      <c r="AF112" s="454">
        <v>94.241148381820196</v>
      </c>
    </row>
    <row r="113" spans="1:32">
      <c r="A113" s="21">
        <v>580</v>
      </c>
      <c r="B113" s="21" t="s">
        <v>124</v>
      </c>
      <c r="C113" s="1288">
        <v>29.737856835897936</v>
      </c>
      <c r="D113" s="1288">
        <v>22.816240160603922</v>
      </c>
      <c r="E113" s="1288">
        <v>20.665985517470666</v>
      </c>
      <c r="F113" s="1288">
        <v>17.534137821530642</v>
      </c>
      <c r="G113" s="1288">
        <v>17.908823960077992</v>
      </c>
      <c r="H113" s="1288">
        <v>20.507915879595743</v>
      </c>
      <c r="I113" s="1288">
        <v>15.546904738879686</v>
      </c>
      <c r="J113" s="1288">
        <v>22.505976400012951</v>
      </c>
      <c r="K113" s="1288">
        <v>23.098892789644378</v>
      </c>
      <c r="L113" s="1288">
        <v>22.270958719787316</v>
      </c>
      <c r="M113" s="1288">
        <v>28.027188802069929</v>
      </c>
      <c r="N113" s="451">
        <v>26.688710136865801</v>
      </c>
      <c r="O113" s="451">
        <v>24.667273227253609</v>
      </c>
      <c r="P113" s="451">
        <v>24.61532624509735</v>
      </c>
      <c r="Q113" s="451">
        <v>29.598853648246926</v>
      </c>
      <c r="R113" s="451">
        <v>31.711456276439172</v>
      </c>
      <c r="S113" s="451">
        <v>26.004286522785648</v>
      </c>
      <c r="T113" s="451">
        <v>29.959994318418083</v>
      </c>
      <c r="U113" s="451">
        <v>29.277420935186772</v>
      </c>
      <c r="V113" s="451">
        <v>32.209589911784576</v>
      </c>
      <c r="W113" s="451">
        <v>38.005114801155258</v>
      </c>
      <c r="X113" s="451">
        <v>32.29216748520242</v>
      </c>
      <c r="Y113" s="451">
        <v>22.573845458543666</v>
      </c>
      <c r="Z113" s="451">
        <v>32.073493707946469</v>
      </c>
      <c r="AA113" s="451">
        <v>47.483887607217227</v>
      </c>
      <c r="AB113" s="451">
        <v>45.559254510209307</v>
      </c>
      <c r="AC113" s="451">
        <v>45.774130144507204</v>
      </c>
      <c r="AD113" s="451">
        <v>52.067143142025628</v>
      </c>
      <c r="AE113" s="451">
        <v>56.842782386123936</v>
      </c>
      <c r="AF113" s="451">
        <v>52.198730127843199</v>
      </c>
    </row>
    <row r="114" spans="1:32">
      <c r="A114" s="21">
        <v>820</v>
      </c>
      <c r="B114" s="21" t="s">
        <v>172</v>
      </c>
      <c r="C114" s="1290">
        <v>54.269749293835403</v>
      </c>
      <c r="D114" s="1290">
        <v>57.701740228229234</v>
      </c>
      <c r="E114" s="1290">
        <v>58.767966554515837</v>
      </c>
      <c r="F114" s="1290">
        <v>56.096442632829202</v>
      </c>
      <c r="G114" s="1290">
        <v>51.625834687062131</v>
      </c>
      <c r="H114" s="1290">
        <v>49.076684500174764</v>
      </c>
      <c r="I114" s="1290">
        <v>49.49644647281626</v>
      </c>
      <c r="J114" s="1290">
        <v>49.025097920594831</v>
      </c>
      <c r="K114" s="1290">
        <v>56.208723499829503</v>
      </c>
      <c r="L114" s="1290">
        <v>65.312216225894403</v>
      </c>
      <c r="M114" s="1290">
        <v>72.422133486238366</v>
      </c>
      <c r="N114" s="453">
        <v>81.486497292704769</v>
      </c>
      <c r="O114" s="453">
        <v>74.627366245948764</v>
      </c>
      <c r="P114" s="453">
        <v>79.020629930445097</v>
      </c>
      <c r="Q114" s="453">
        <v>90.754624586292692</v>
      </c>
      <c r="R114" s="453">
        <v>98.024474222809062</v>
      </c>
      <c r="S114" s="453">
        <v>90.19047587684166</v>
      </c>
      <c r="T114" s="453">
        <v>92.37566515393965</v>
      </c>
      <c r="U114" s="453">
        <v>93.748480140307194</v>
      </c>
      <c r="V114" s="453">
        <v>96.259523114064706</v>
      </c>
      <c r="W114" s="453">
        <v>100.59708025510589</v>
      </c>
      <c r="X114" s="453">
        <v>92.962144654105899</v>
      </c>
      <c r="Y114" s="453">
        <v>91.050929900603577</v>
      </c>
      <c r="Z114" s="453">
        <v>87.251682908715793</v>
      </c>
      <c r="AA114" s="453">
        <v>95.000928176049683</v>
      </c>
      <c r="AB114" s="453">
        <v>94.634650537377141</v>
      </c>
      <c r="AC114" s="453">
        <v>93.907468303968557</v>
      </c>
      <c r="AD114" s="453">
        <v>89.428065459178356</v>
      </c>
      <c r="AE114" s="453">
        <v>80.260410550851859</v>
      </c>
      <c r="AF114" s="453">
        <v>74.87667117364316</v>
      </c>
    </row>
    <row r="115" spans="1:32">
      <c r="A115" s="21">
        <v>590</v>
      </c>
      <c r="B115" s="21" t="s">
        <v>126</v>
      </c>
      <c r="C115" s="1295">
        <v>61.166509936395961</v>
      </c>
      <c r="D115" s="1295">
        <v>54.955723055483197</v>
      </c>
      <c r="E115" s="1295">
        <v>49.761095637431502</v>
      </c>
      <c r="F115" s="1295">
        <v>46.806415135091143</v>
      </c>
      <c r="G115" s="1295">
        <v>51.801871394509206</v>
      </c>
      <c r="H115" s="1295">
        <v>55.18997063718146</v>
      </c>
      <c r="I115" s="1295">
        <v>53.617385143274888</v>
      </c>
      <c r="J115" s="1295">
        <v>62.24777709081463</v>
      </c>
      <c r="K115" s="1295">
        <v>69.394340910105072</v>
      </c>
      <c r="L115" s="1295">
        <v>71.231071860650303</v>
      </c>
      <c r="M115" s="1295">
        <v>72.155172413793096</v>
      </c>
      <c r="N115" s="458">
        <v>66.048839184346292</v>
      </c>
      <c r="O115" s="458">
        <v>62.546930195842755</v>
      </c>
      <c r="P115" s="458">
        <v>64.28158034748688</v>
      </c>
      <c r="Q115" s="458">
        <v>65.460653309074075</v>
      </c>
      <c r="R115" s="458">
        <v>61.081902023836307</v>
      </c>
      <c r="S115" s="458">
        <v>64.27226626221028</v>
      </c>
      <c r="T115" s="458">
        <v>66.343326736909404</v>
      </c>
      <c r="U115" s="458">
        <v>66.515393261485642</v>
      </c>
      <c r="V115" s="458">
        <v>67.416060753192852</v>
      </c>
      <c r="W115" s="458">
        <v>61.944344471542209</v>
      </c>
      <c r="X115" s="458">
        <v>62.533777706961772</v>
      </c>
      <c r="Y115" s="458">
        <v>58.782702775916562</v>
      </c>
      <c r="Z115" s="458">
        <v>55.387490211214441</v>
      </c>
      <c r="AA115" s="458">
        <v>56.392750430269579</v>
      </c>
      <c r="AB115" s="458">
        <v>65.858164547372311</v>
      </c>
      <c r="AC115" s="458">
        <v>72.907871326442503</v>
      </c>
      <c r="AD115" s="458">
        <v>69.043822916963649</v>
      </c>
      <c r="AE115" s="458">
        <v>67.61618521915149</v>
      </c>
      <c r="AF115" s="458">
        <v>59.074127465523809</v>
      </c>
    </row>
    <row r="116" spans="1:32">
      <c r="A116" s="21">
        <v>553</v>
      </c>
      <c r="B116" s="21" t="s">
        <v>118</v>
      </c>
      <c r="C116" s="1289">
        <v>38.802108007494326</v>
      </c>
      <c r="D116" s="1289">
        <v>31.495353314548602</v>
      </c>
      <c r="E116" s="1289">
        <v>28.84553628773282</v>
      </c>
      <c r="F116" s="1289">
        <v>28.322896181395514</v>
      </c>
      <c r="G116" s="1289">
        <v>26.426146006368363</v>
      </c>
      <c r="H116" s="1289">
        <v>29.898711582476619</v>
      </c>
      <c r="I116" s="1289">
        <v>25.048799673866988</v>
      </c>
      <c r="J116" s="1289">
        <v>27.809881868311116</v>
      </c>
      <c r="K116" s="1289">
        <v>32.543007695789953</v>
      </c>
      <c r="L116" s="1289">
        <v>34.517571079058506</v>
      </c>
      <c r="M116" s="1289">
        <v>33.420766773354167</v>
      </c>
      <c r="N116" s="452">
        <v>29.307310148394787</v>
      </c>
      <c r="O116" s="452">
        <v>42.455832873318727</v>
      </c>
      <c r="P116" s="452">
        <v>32.22197074446278</v>
      </c>
      <c r="Q116" s="452">
        <v>61.745135114897131</v>
      </c>
      <c r="R116" s="452">
        <v>48.08841724094583</v>
      </c>
      <c r="S116" s="452">
        <v>31.876670195812462</v>
      </c>
      <c r="T116" s="452">
        <v>33.585404601274099</v>
      </c>
      <c r="U116" s="452">
        <v>38.105015149710219</v>
      </c>
      <c r="V116" s="452">
        <v>43.293692515836121</v>
      </c>
      <c r="W116" s="452">
        <v>35.334983069946254</v>
      </c>
      <c r="X116" s="452">
        <v>39.127177317086328</v>
      </c>
      <c r="Y116" s="452">
        <v>34.154084019140626</v>
      </c>
      <c r="Z116" s="452">
        <v>40.596079500406994</v>
      </c>
      <c r="AA116" s="452">
        <v>43.194489239506936</v>
      </c>
      <c r="AB116" s="452">
        <v>52.186893383181221</v>
      </c>
      <c r="AC116" s="452">
        <v>47.107640755444741</v>
      </c>
      <c r="AD116" s="452">
        <v>35.14026205923507</v>
      </c>
      <c r="AE116" s="452">
        <v>46.908715855711556</v>
      </c>
      <c r="AF116" s="452">
        <v>37.712015927292938</v>
      </c>
    </row>
    <row r="117" spans="1:32">
      <c r="A117" s="21">
        <v>70</v>
      </c>
      <c r="B117" s="21" t="s">
        <v>15</v>
      </c>
      <c r="C117" s="1296">
        <v>12.973918210051572</v>
      </c>
      <c r="D117" s="1296">
        <v>12.935736915531088</v>
      </c>
      <c r="E117" s="1296">
        <v>10.315562923411459</v>
      </c>
      <c r="F117" s="1296">
        <v>9.4210074160035315</v>
      </c>
      <c r="G117" s="1296">
        <v>9.5526440907688617</v>
      </c>
      <c r="H117" s="1296">
        <v>10.333846994736843</v>
      </c>
      <c r="I117" s="1296">
        <v>13.434244233577006</v>
      </c>
      <c r="J117" s="1296">
        <v>13.385982201991467</v>
      </c>
      <c r="K117" s="1296">
        <v>18.53783001662751</v>
      </c>
      <c r="L117" s="1296">
        <v>19.061731806050066</v>
      </c>
      <c r="M117" s="1296">
        <v>19.705390104464769</v>
      </c>
      <c r="N117" s="459">
        <v>19.272451763520401</v>
      </c>
      <c r="O117" s="459">
        <v>20.271539811352074</v>
      </c>
      <c r="P117" s="459">
        <v>19.1736844855714</v>
      </c>
      <c r="Q117" s="459">
        <v>21.603355804804803</v>
      </c>
      <c r="R117" s="459">
        <v>27.703431706954419</v>
      </c>
      <c r="S117" s="459">
        <v>30.018926953077568</v>
      </c>
      <c r="T117" s="459">
        <v>30.373465063217541</v>
      </c>
      <c r="U117" s="459">
        <v>32.814134624872374</v>
      </c>
      <c r="V117" s="459">
        <v>32.356554286003544</v>
      </c>
      <c r="W117" s="459">
        <v>32.93322023438057</v>
      </c>
      <c r="X117" s="459">
        <v>29.773929604449616</v>
      </c>
      <c r="Y117" s="459">
        <v>28.639103558393764</v>
      </c>
      <c r="Z117" s="459">
        <v>26.816317657853023</v>
      </c>
      <c r="AA117" s="459">
        <v>28.373704379271025</v>
      </c>
      <c r="AB117" s="459">
        <v>28.553069008515781</v>
      </c>
      <c r="AC117" s="459">
        <v>29.20585670271036</v>
      </c>
      <c r="AD117" s="459">
        <v>29.805638981151354</v>
      </c>
      <c r="AE117" s="459">
        <v>30.408657793018516</v>
      </c>
      <c r="AF117" s="459">
        <v>29.283070773665482</v>
      </c>
    </row>
    <row r="118" spans="1:32">
      <c r="A118" s="21">
        <v>359</v>
      </c>
      <c r="B118" s="21" t="s">
        <v>65</v>
      </c>
      <c r="C118" s="1298"/>
      <c r="D118" s="1298"/>
      <c r="E118" s="1298"/>
      <c r="F118" s="1298"/>
      <c r="G118" s="1298"/>
      <c r="H118" s="1298"/>
      <c r="I118" s="1298"/>
      <c r="J118" s="1298"/>
      <c r="K118" s="1298"/>
      <c r="L118" s="1298"/>
      <c r="M118" s="1298">
        <v>50.558083459728543</v>
      </c>
      <c r="N118" s="460">
        <v>33.976833976833973</v>
      </c>
      <c r="O118" s="460">
        <v>40.616694103451223</v>
      </c>
      <c r="P118" s="460">
        <v>29.724098089725349</v>
      </c>
      <c r="Q118" s="460">
        <v>44.116411213315189</v>
      </c>
      <c r="R118" s="460">
        <v>57.957941588377018</v>
      </c>
      <c r="S118" s="460">
        <v>73.917020780736081</v>
      </c>
      <c r="T118" s="460">
        <v>74.28636922000365</v>
      </c>
      <c r="U118" s="460">
        <v>75.038249224792992</v>
      </c>
      <c r="V118" s="460">
        <v>67.419719912452763</v>
      </c>
      <c r="W118" s="460">
        <v>75.431911319768659</v>
      </c>
      <c r="X118" s="460">
        <v>73.53492976548182</v>
      </c>
      <c r="Y118" s="460">
        <v>77.933917477224767</v>
      </c>
      <c r="Z118" s="460">
        <v>87.246637619909663</v>
      </c>
      <c r="AA118" s="460">
        <v>82.000392447787078</v>
      </c>
      <c r="AB118" s="460">
        <v>91.671751521816873</v>
      </c>
      <c r="AC118" s="460">
        <v>91.897673360009762</v>
      </c>
      <c r="AD118" s="460">
        <v>97.1408454692627</v>
      </c>
      <c r="AE118" s="460">
        <v>93.603529601823993</v>
      </c>
      <c r="AF118" s="460">
        <v>73.398307879353126</v>
      </c>
    </row>
    <row r="119" spans="1:32">
      <c r="A119" s="21">
        <v>432</v>
      </c>
      <c r="B119" s="21" t="s">
        <v>86</v>
      </c>
      <c r="C119" s="1292">
        <v>29.102714075623908</v>
      </c>
      <c r="D119" s="1292">
        <v>29.319589172815299</v>
      </c>
      <c r="E119" s="1292">
        <v>29.78094192081771</v>
      </c>
      <c r="F119" s="1292">
        <v>31.503787683525086</v>
      </c>
      <c r="G119" s="1292">
        <v>32.821118398734754</v>
      </c>
      <c r="H119" s="1292">
        <v>43.973803478619104</v>
      </c>
      <c r="I119" s="1292">
        <v>37.283964830221372</v>
      </c>
      <c r="J119" s="1292">
        <v>33.092163486185569</v>
      </c>
      <c r="K119" s="1292">
        <v>34.577441153701606</v>
      </c>
      <c r="L119" s="1292">
        <v>32.708821954284623</v>
      </c>
      <c r="M119" s="1292">
        <v>33.727546812208544</v>
      </c>
      <c r="N119" s="455">
        <v>34.600439412421565</v>
      </c>
      <c r="O119" s="455">
        <v>32.845157524481991</v>
      </c>
      <c r="P119" s="455">
        <v>31.2255028632568</v>
      </c>
      <c r="Q119" s="455">
        <v>42.867652051652492</v>
      </c>
      <c r="R119" s="455">
        <v>36.238118678414999</v>
      </c>
      <c r="S119" s="455">
        <v>35.75160418409051</v>
      </c>
      <c r="T119" s="455">
        <v>36.757020661198261</v>
      </c>
      <c r="U119" s="455">
        <v>35.246574460938731</v>
      </c>
      <c r="V119" s="455">
        <v>38.187500717951963</v>
      </c>
      <c r="W119" s="455">
        <v>39.382890359365227</v>
      </c>
      <c r="X119" s="455">
        <v>50.266966392151637</v>
      </c>
      <c r="Y119" s="455">
        <v>39.223337639843677</v>
      </c>
      <c r="Z119" s="455">
        <v>37.362182855390294</v>
      </c>
      <c r="AA119" s="455">
        <v>37.763775315477396</v>
      </c>
      <c r="AB119" s="455">
        <v>37.307219262567358</v>
      </c>
      <c r="AC119" s="455">
        <v>40.230523274936864</v>
      </c>
      <c r="AD119" s="455">
        <v>35.576642335766422</v>
      </c>
      <c r="AE119" s="455"/>
      <c r="AF119" s="455"/>
    </row>
    <row r="120" spans="1:32">
      <c r="A120" s="21">
        <v>338</v>
      </c>
      <c r="B120" s="21" t="s">
        <v>55</v>
      </c>
      <c r="C120" s="1293">
        <v>86.40644630457615</v>
      </c>
      <c r="D120" s="1293">
        <v>80.570356068314894</v>
      </c>
      <c r="E120" s="1293">
        <v>76.560589476607078</v>
      </c>
      <c r="F120" s="1293">
        <v>73.658334183236036</v>
      </c>
      <c r="G120" s="1293">
        <v>76.476085147089492</v>
      </c>
      <c r="H120" s="1293">
        <v>79.152167675829574</v>
      </c>
      <c r="I120" s="1293">
        <v>73.824614566415306</v>
      </c>
      <c r="J120" s="1293">
        <v>78.467722772616114</v>
      </c>
      <c r="K120" s="1293">
        <v>79.913172078542644</v>
      </c>
      <c r="L120" s="1293">
        <v>82.468292425997092</v>
      </c>
      <c r="M120" s="1293">
        <v>88.650108749312864</v>
      </c>
      <c r="N120" s="456">
        <v>87.865842576969982</v>
      </c>
      <c r="O120" s="456">
        <v>88.7058208917081</v>
      </c>
      <c r="P120" s="456">
        <v>94.093250254713908</v>
      </c>
      <c r="Q120" s="456">
        <v>95.740103391667517</v>
      </c>
      <c r="R120" s="456">
        <v>96.287196141711263</v>
      </c>
      <c r="S120" s="456">
        <v>90.462547448646433</v>
      </c>
      <c r="T120" s="456">
        <v>84.189208721565805</v>
      </c>
      <c r="U120" s="456">
        <v>84.330831024698469</v>
      </c>
      <c r="V120" s="456">
        <v>88.170409635052266</v>
      </c>
      <c r="W120" s="456">
        <v>102.7042760805399</v>
      </c>
      <c r="X120" s="456">
        <v>86.569833069014209</v>
      </c>
      <c r="Y120" s="456">
        <v>81.961931166372963</v>
      </c>
      <c r="Z120" s="456">
        <v>82.52934954732973</v>
      </c>
      <c r="AA120" s="456">
        <v>82.809098582789105</v>
      </c>
      <c r="AB120" s="456">
        <v>82.432347978251357</v>
      </c>
      <c r="AC120" s="456">
        <v>91.699959074698427</v>
      </c>
      <c r="AD120" s="456">
        <v>91.517938610898213</v>
      </c>
      <c r="AE120" s="456">
        <v>86.816401149125099</v>
      </c>
      <c r="AF120" s="456">
        <v>73.650799172130718</v>
      </c>
    </row>
    <row r="121" spans="1:32">
      <c r="A121" s="21">
        <v>221</v>
      </c>
      <c r="B121" s="21" t="s">
        <v>41</v>
      </c>
    </row>
    <row r="122" spans="1:32">
      <c r="A122" s="21">
        <v>341</v>
      </c>
      <c r="B122" s="21" t="s">
        <v>193</v>
      </c>
      <c r="N122" s="462"/>
      <c r="O122" s="462"/>
      <c r="P122" s="462"/>
      <c r="Q122" s="462"/>
      <c r="R122" s="462"/>
      <c r="S122" s="462"/>
      <c r="T122" s="462"/>
      <c r="U122" s="462"/>
      <c r="V122" s="462"/>
      <c r="W122" s="462">
        <v>51.110210293900991</v>
      </c>
      <c r="X122" s="462">
        <v>61.986410315805728</v>
      </c>
      <c r="Y122" s="462">
        <v>59.884420263215944</v>
      </c>
      <c r="Z122" s="462">
        <v>46.988014038805375</v>
      </c>
      <c r="AA122" s="462">
        <v>58.087016409150792</v>
      </c>
      <c r="AB122" s="462">
        <v>61.075812672176312</v>
      </c>
      <c r="AC122" s="462">
        <v>79.975287877984087</v>
      </c>
      <c r="AD122" s="462">
        <v>86.700380890717938</v>
      </c>
      <c r="AE122" s="462">
        <v>94.014590529750734</v>
      </c>
      <c r="AF122" s="462">
        <v>65.87612639958779</v>
      </c>
    </row>
    <row r="123" spans="1:32">
      <c r="A123" s="21">
        <v>712</v>
      </c>
      <c r="B123" s="21" t="s">
        <v>155</v>
      </c>
      <c r="C123" s="1299"/>
      <c r="D123" s="1299">
        <v>71.033745705904309</v>
      </c>
      <c r="E123" s="1299">
        <v>64.457570067961711</v>
      </c>
      <c r="F123" s="1299">
        <v>62.421767349589217</v>
      </c>
      <c r="G123" s="1299">
        <v>65.071628075590411</v>
      </c>
      <c r="H123" s="1299">
        <v>68.206588965719277</v>
      </c>
      <c r="I123" s="1299">
        <v>81.393107920318215</v>
      </c>
      <c r="J123" s="1299">
        <v>72.262258617712646</v>
      </c>
      <c r="K123" s="1299">
        <v>66.022508777362248</v>
      </c>
      <c r="L123" s="1299">
        <v>53.877371265326246</v>
      </c>
      <c r="M123" s="1299">
        <v>49.364792531669345</v>
      </c>
      <c r="N123" s="461">
        <v>98.645874857215389</v>
      </c>
      <c r="O123" s="461">
        <v>43.152891153718137</v>
      </c>
      <c r="P123" s="461">
        <v>82.278185256449561</v>
      </c>
      <c r="Q123" s="461">
        <v>64.225460001331697</v>
      </c>
      <c r="R123" s="461">
        <v>49.20637758611371</v>
      </c>
      <c r="S123" s="461">
        <v>48.453055408758601</v>
      </c>
      <c r="T123" s="461">
        <v>53.025394599450514</v>
      </c>
      <c r="U123" s="461">
        <v>68.831259137334342</v>
      </c>
      <c r="V123" s="461">
        <v>72.494583684479124</v>
      </c>
      <c r="W123" s="461">
        <v>70.86343974581132</v>
      </c>
      <c r="X123" s="461">
        <v>71.050348814018264</v>
      </c>
      <c r="Y123" s="461">
        <v>74.390955643588725</v>
      </c>
      <c r="Z123" s="461">
        <v>74.851385223339889</v>
      </c>
      <c r="AA123" s="461">
        <v>77.394203034609134</v>
      </c>
      <c r="AB123" s="461">
        <v>68.220826276763148</v>
      </c>
      <c r="AC123" s="461">
        <v>59.677311501083921</v>
      </c>
      <c r="AD123" s="461">
        <v>65.73208721430332</v>
      </c>
      <c r="AE123" s="461">
        <v>71.544231337930569</v>
      </c>
      <c r="AF123" s="461">
        <v>62.626177814542018</v>
      </c>
    </row>
    <row r="124" spans="1:32">
      <c r="A124" s="21">
        <v>600</v>
      </c>
      <c r="B124" s="21" t="s">
        <v>128</v>
      </c>
      <c r="C124" s="1300">
        <v>26.741531002834389</v>
      </c>
      <c r="D124" s="1300">
        <v>33.300352196451414</v>
      </c>
      <c r="E124" s="1300">
        <v>31.966452353502834</v>
      </c>
      <c r="F124" s="1300">
        <v>29.160291079423921</v>
      </c>
      <c r="G124" s="1300">
        <v>33.594671466172478</v>
      </c>
      <c r="H124" s="1300">
        <v>33.354830422162799</v>
      </c>
      <c r="I124" s="1300">
        <v>27.779176002890281</v>
      </c>
      <c r="J124" s="1300">
        <v>27.027623350848557</v>
      </c>
      <c r="K124" s="1300">
        <v>26.186293862862243</v>
      </c>
      <c r="L124" s="1300">
        <v>27.366348108527333</v>
      </c>
      <c r="M124" s="1300">
        <v>31.861699946246482</v>
      </c>
      <c r="N124" s="463">
        <v>28.547119909028059</v>
      </c>
      <c r="O124" s="463">
        <v>31.490945467793825</v>
      </c>
      <c r="P124" s="463">
        <v>31.815586516659156</v>
      </c>
      <c r="Q124" s="463">
        <v>30.746944304920437</v>
      </c>
      <c r="R124" s="463">
        <v>34.024288077471937</v>
      </c>
      <c r="S124" s="463">
        <v>30.186278064932715</v>
      </c>
      <c r="T124" s="463">
        <v>32.229835620336978</v>
      </c>
      <c r="U124" s="463">
        <v>28.10541514367106</v>
      </c>
      <c r="V124" s="463">
        <v>29.639678721869554</v>
      </c>
      <c r="W124" s="463">
        <v>33.35138199353807</v>
      </c>
      <c r="X124" s="463">
        <v>31.942157869803612</v>
      </c>
      <c r="Y124" s="463">
        <v>32.260353010376583</v>
      </c>
      <c r="Z124" s="463">
        <v>31.49316277480446</v>
      </c>
      <c r="AA124" s="463">
        <v>34.324128986267731</v>
      </c>
      <c r="AB124" s="463">
        <v>37.915285618718961</v>
      </c>
      <c r="AC124" s="463">
        <v>39.67894357610021</v>
      </c>
      <c r="AD124" s="463">
        <v>44.86413069935449</v>
      </c>
      <c r="AE124" s="463">
        <v>50.869211126483108</v>
      </c>
      <c r="AF124" s="463">
        <v>39.494244817347315</v>
      </c>
    </row>
    <row r="125" spans="1:32">
      <c r="A125" s="21">
        <v>983</v>
      </c>
      <c r="B125" s="21" t="s">
        <v>187</v>
      </c>
    </row>
    <row r="126" spans="1:32">
      <c r="A126" s="21">
        <v>775</v>
      </c>
      <c r="B126" s="21" t="s">
        <v>164</v>
      </c>
      <c r="C126" s="1302">
        <v>12.942581841232121</v>
      </c>
      <c r="D126" s="1302">
        <v>15.149258507462687</v>
      </c>
      <c r="E126" s="1302">
        <v>15.744157768491609</v>
      </c>
      <c r="F126" s="1302">
        <v>10.430928225003038</v>
      </c>
      <c r="G126" s="1302">
        <v>9.4053771033774414</v>
      </c>
      <c r="H126" s="1302">
        <v>8.5766829326889837</v>
      </c>
      <c r="I126" s="1302">
        <v>6.6680218689259201</v>
      </c>
      <c r="J126" s="1302">
        <v>5.9186581686006772</v>
      </c>
      <c r="K126" s="1302">
        <v>4.8410996450201829</v>
      </c>
      <c r="L126" s="1302">
        <v>3.1596425286788334</v>
      </c>
      <c r="M126" s="1302">
        <v>3.6348223723093245</v>
      </c>
      <c r="N126" s="465">
        <v>2.8568690766285658</v>
      </c>
      <c r="O126" s="465">
        <v>2.1513287972839841</v>
      </c>
      <c r="P126" s="465">
        <v>2.1989577617938685</v>
      </c>
      <c r="Q126" s="465">
        <v>1.7624273410916542</v>
      </c>
      <c r="R126" s="465">
        <v>1.703573005428878</v>
      </c>
      <c r="S126" s="465">
        <v>1.4872850324503144</v>
      </c>
      <c r="T126" s="465">
        <v>1.2832411351762247</v>
      </c>
      <c r="U126" s="465">
        <v>1.0480340121855463</v>
      </c>
      <c r="V126" s="465">
        <v>0.74258555827459005</v>
      </c>
      <c r="W126" s="465">
        <v>0.58995594133816587</v>
      </c>
      <c r="X126" s="465">
        <v>0.51791306229836387</v>
      </c>
      <c r="Y126" s="465">
        <v>0.26505465085582786</v>
      </c>
      <c r="Z126" s="465">
        <v>0.17362533006696199</v>
      </c>
      <c r="AA126" s="465">
        <v>0.12489358601658852</v>
      </c>
      <c r="AB126" s="465"/>
      <c r="AC126" s="465"/>
      <c r="AD126" s="465"/>
      <c r="AE126" s="465"/>
      <c r="AF126" s="465"/>
    </row>
    <row r="127" spans="1:32">
      <c r="A127" s="21">
        <v>541</v>
      </c>
      <c r="B127" s="21" t="s">
        <v>115</v>
      </c>
      <c r="C127" s="1301">
        <v>27.359321286746209</v>
      </c>
      <c r="D127" s="1301">
        <v>25.754396818139142</v>
      </c>
      <c r="E127" s="1301">
        <v>26.214420424709211</v>
      </c>
      <c r="F127" s="1301">
        <v>22.763440979374188</v>
      </c>
      <c r="G127" s="1301">
        <v>18.359963631227792</v>
      </c>
      <c r="H127" s="1301">
        <v>11.466125275450278</v>
      </c>
      <c r="I127" s="1301">
        <v>12.026354632744905</v>
      </c>
      <c r="J127" s="1301">
        <v>31.385066960805684</v>
      </c>
      <c r="K127" s="1301">
        <v>37.297566655713048</v>
      </c>
      <c r="L127" s="1301">
        <v>38.648918370535796</v>
      </c>
      <c r="M127" s="1301">
        <v>36.068153739021049</v>
      </c>
      <c r="N127" s="464">
        <v>34.895258739016455</v>
      </c>
      <c r="O127" s="464">
        <v>43.943881711170263</v>
      </c>
      <c r="P127" s="464">
        <v>47.254644785960522</v>
      </c>
      <c r="Q127" s="464">
        <v>48.002047131701836</v>
      </c>
      <c r="R127" s="464">
        <v>41.044123481938691</v>
      </c>
      <c r="S127" s="464">
        <v>29.450552044471952</v>
      </c>
      <c r="T127" s="464">
        <v>24.610398739062251</v>
      </c>
      <c r="U127" s="464">
        <v>24.556036543498802</v>
      </c>
      <c r="V127" s="464">
        <v>33.716514485557987</v>
      </c>
      <c r="W127" s="464">
        <v>36.980209854139197</v>
      </c>
      <c r="X127" s="464">
        <v>38.484849516556409</v>
      </c>
      <c r="Y127" s="464">
        <v>48.850382341257372</v>
      </c>
      <c r="Z127" s="464">
        <v>47.61967264741088</v>
      </c>
      <c r="AA127" s="464">
        <v>41.788229846910781</v>
      </c>
      <c r="AB127" s="464">
        <v>43.944592231310494</v>
      </c>
      <c r="AC127" s="464">
        <v>47.22149127513611</v>
      </c>
      <c r="AD127" s="464">
        <v>45.15001698882763</v>
      </c>
      <c r="AE127" s="464">
        <v>46.465597327960509</v>
      </c>
      <c r="AF127" s="464">
        <v>43.792061823333519</v>
      </c>
    </row>
    <row r="128" spans="1:32">
      <c r="A128" s="21">
        <v>565</v>
      </c>
      <c r="B128" s="21" t="s">
        <v>120</v>
      </c>
      <c r="C128" s="1303">
        <v>71.107164002368265</v>
      </c>
      <c r="D128" s="1303">
        <v>88.434579439252332</v>
      </c>
      <c r="E128" s="1303">
        <v>81.00102145045966</v>
      </c>
      <c r="F128" s="1303">
        <v>70.963238715681712</v>
      </c>
      <c r="G128" s="1303">
        <v>70.016680567139275</v>
      </c>
      <c r="H128" s="1303">
        <v>53.874172185430467</v>
      </c>
      <c r="I128" s="1303">
        <v>61.891117478510026</v>
      </c>
      <c r="J128" s="1303">
        <v>69.103833460269101</v>
      </c>
      <c r="K128" s="1303">
        <v>59.351105600330648</v>
      </c>
      <c r="L128" s="1303">
        <v>61.476274165202106</v>
      </c>
      <c r="M128" s="1303">
        <v>67.406676533464889</v>
      </c>
      <c r="N128" s="466">
        <v>67.843650101714616</v>
      </c>
      <c r="O128" s="466">
        <v>66.934387742493513</v>
      </c>
      <c r="P128" s="466">
        <v>56.686734035691245</v>
      </c>
      <c r="Q128" s="466">
        <v>51.320689356542829</v>
      </c>
      <c r="R128" s="466">
        <v>55.666614198016681</v>
      </c>
      <c r="S128" s="466">
        <v>58.597028845513286</v>
      </c>
      <c r="T128" s="466">
        <v>57.536863470837559</v>
      </c>
      <c r="U128" s="466">
        <v>58.012666986002451</v>
      </c>
      <c r="V128" s="466">
        <v>56.918391026880677</v>
      </c>
      <c r="W128" s="466">
        <v>44.545622119815675</v>
      </c>
      <c r="X128" s="466">
        <v>47.673161945308664</v>
      </c>
      <c r="Y128" s="466">
        <v>48.075077617837991</v>
      </c>
      <c r="Z128" s="466">
        <v>52.468904138966344</v>
      </c>
      <c r="AA128" s="466">
        <v>42.076899646196019</v>
      </c>
      <c r="AB128" s="466">
        <v>40.310111094267711</v>
      </c>
      <c r="AC128" s="466">
        <v>41.559931887169618</v>
      </c>
      <c r="AD128" s="466">
        <v>52.044909070408018</v>
      </c>
      <c r="AE128" s="466">
        <v>60.057824553818719</v>
      </c>
      <c r="AF128" s="466">
        <v>59.886911691335442</v>
      </c>
    </row>
    <row r="129" spans="1:32">
      <c r="A129" s="21">
        <v>970</v>
      </c>
      <c r="B129" s="21" t="s">
        <v>186</v>
      </c>
    </row>
    <row r="130" spans="1:32">
      <c r="A130" s="21">
        <v>790</v>
      </c>
      <c r="B130" s="21" t="s">
        <v>167</v>
      </c>
      <c r="C130" s="1304">
        <v>18.731533158420273</v>
      </c>
      <c r="D130" s="1304">
        <v>19.617681289288271</v>
      </c>
      <c r="E130" s="1304">
        <v>18.807279877500676</v>
      </c>
      <c r="F130" s="1304">
        <v>21.31516663507109</v>
      </c>
      <c r="G130" s="1304">
        <v>19.449099685869339</v>
      </c>
      <c r="H130" s="1304">
        <v>19.999571098613316</v>
      </c>
      <c r="I130" s="1304">
        <v>20.302742085995263</v>
      </c>
      <c r="J130" s="1304">
        <v>20.906614054866591</v>
      </c>
      <c r="K130" s="1304">
        <v>22.381868774868021</v>
      </c>
      <c r="L130" s="1304">
        <v>22.283323438147619</v>
      </c>
      <c r="M130" s="1304">
        <v>21.661445037518373</v>
      </c>
      <c r="N130" s="467">
        <v>23.184303842456846</v>
      </c>
      <c r="O130" s="467">
        <v>25.73568700790495</v>
      </c>
      <c r="P130" s="467">
        <v>28.756617069477809</v>
      </c>
      <c r="Q130" s="467">
        <v>31.438134810710988</v>
      </c>
      <c r="R130" s="467">
        <v>34.517359422164795</v>
      </c>
      <c r="S130" s="467">
        <v>35.640193561605862</v>
      </c>
      <c r="T130" s="467">
        <v>37.707699821398649</v>
      </c>
      <c r="U130" s="467">
        <v>33.887550067310407</v>
      </c>
      <c r="V130" s="467">
        <v>29.71850916277819</v>
      </c>
      <c r="W130" s="467">
        <v>32.426585293869636</v>
      </c>
      <c r="X130" s="467">
        <v>31.391161631511761</v>
      </c>
      <c r="Y130" s="467">
        <v>28.49363250718805</v>
      </c>
      <c r="Z130" s="467">
        <v>28.547978489774113</v>
      </c>
      <c r="AA130" s="467">
        <v>29.464610087769145</v>
      </c>
      <c r="AB130" s="467">
        <v>29.479209788738608</v>
      </c>
      <c r="AC130" s="467">
        <v>31.31663239330026</v>
      </c>
      <c r="AD130" s="467">
        <v>31.298253998335575</v>
      </c>
      <c r="AE130" s="467">
        <v>32.660028519026731</v>
      </c>
      <c r="AF130" s="467">
        <v>37.415196284209244</v>
      </c>
    </row>
    <row r="131" spans="1:32">
      <c r="A131" s="21">
        <v>920</v>
      </c>
      <c r="B131" s="21" t="s">
        <v>179</v>
      </c>
      <c r="C131" s="1306">
        <v>30.335786000831366</v>
      </c>
      <c r="D131" s="1306">
        <v>31.469523415562556</v>
      </c>
      <c r="E131" s="1306">
        <v>31.275311783470933</v>
      </c>
      <c r="F131" s="1306">
        <v>30.12254820756818</v>
      </c>
      <c r="G131" s="1306">
        <v>35.002824779929639</v>
      </c>
      <c r="H131" s="1306">
        <v>32.015089555634127</v>
      </c>
      <c r="I131" s="1306">
        <v>26.555984898955092</v>
      </c>
      <c r="J131" s="1306">
        <v>24.269932984050548</v>
      </c>
      <c r="K131" s="1306">
        <v>22.544776504160147</v>
      </c>
      <c r="L131" s="1306">
        <v>26.032993077784866</v>
      </c>
      <c r="M131" s="1306">
        <v>26.278075548755446</v>
      </c>
      <c r="N131" s="469">
        <v>25.898336044576425</v>
      </c>
      <c r="O131" s="469">
        <v>28.524906166956786</v>
      </c>
      <c r="P131" s="469">
        <v>27.382055869919515</v>
      </c>
      <c r="Q131" s="469">
        <v>28.461159138533716</v>
      </c>
      <c r="R131" s="469">
        <v>27.894609692348464</v>
      </c>
      <c r="S131" s="469">
        <v>27.168188902610659</v>
      </c>
      <c r="T131" s="469">
        <v>27.319318123672325</v>
      </c>
      <c r="U131" s="469">
        <v>28.757420683360806</v>
      </c>
      <c r="V131" s="469">
        <v>30.99271612792926</v>
      </c>
      <c r="W131" s="469">
        <v>33.473333087902631</v>
      </c>
      <c r="X131" s="469">
        <v>32.39406386523914</v>
      </c>
      <c r="Y131" s="469">
        <v>30.277238567057552</v>
      </c>
      <c r="Z131" s="469">
        <v>28.407845831346396</v>
      </c>
      <c r="AA131" s="469">
        <v>29.29066901695629</v>
      </c>
      <c r="AB131" s="469">
        <v>29.590892858699782</v>
      </c>
      <c r="AC131" s="469">
        <v>30.043019980671517</v>
      </c>
      <c r="AD131" s="469">
        <v>29.16030895972786</v>
      </c>
      <c r="AE131" s="469">
        <v>31.994650379120614</v>
      </c>
      <c r="AF131" s="469">
        <v>26.526341572507217</v>
      </c>
    </row>
    <row r="132" spans="1:32">
      <c r="A132" s="21">
        <v>93</v>
      </c>
      <c r="B132" s="21" t="s">
        <v>20</v>
      </c>
      <c r="C132" s="1307">
        <v>43.268361668379825</v>
      </c>
      <c r="D132" s="1307">
        <v>41.78099680461527</v>
      </c>
      <c r="E132" s="1307">
        <v>26.055226397322258</v>
      </c>
      <c r="F132" s="1307">
        <v>29.992617882309215</v>
      </c>
      <c r="G132" s="1307">
        <v>29.450811274451404</v>
      </c>
      <c r="H132" s="1307">
        <v>21.826261505560243</v>
      </c>
      <c r="I132" s="1307">
        <v>20.83160249968418</v>
      </c>
      <c r="J132" s="1307">
        <v>13.760366480411513</v>
      </c>
      <c r="K132" s="1307">
        <v>58.270205155889442</v>
      </c>
      <c r="L132" s="1307">
        <v>65.192257477746338</v>
      </c>
      <c r="M132" s="1307">
        <v>46.34244341650961</v>
      </c>
      <c r="N132" s="470">
        <v>52.50598972398798</v>
      </c>
      <c r="O132" s="470">
        <v>53.266398929049529</v>
      </c>
      <c r="P132" s="470">
        <v>47.858039908832964</v>
      </c>
      <c r="Q132" s="470">
        <v>32.185062736307593</v>
      </c>
      <c r="R132" s="470">
        <v>34.671838130948466</v>
      </c>
      <c r="S132" s="470">
        <v>39.249947337791475</v>
      </c>
      <c r="T132" s="470">
        <v>47.873282218280671</v>
      </c>
      <c r="U132" s="470">
        <v>46.748402967900645</v>
      </c>
      <c r="V132" s="470">
        <v>54.599550203856296</v>
      </c>
      <c r="W132" s="470">
        <v>51.104460281870601</v>
      </c>
      <c r="X132" s="470">
        <v>48.310316506301298</v>
      </c>
      <c r="Y132" s="470">
        <v>48.689773063173099</v>
      </c>
      <c r="Z132" s="470">
        <v>51.451519969011514</v>
      </c>
      <c r="AA132" s="470">
        <v>54.758444872926368</v>
      </c>
      <c r="AB132" s="470">
        <v>58.555415241585663</v>
      </c>
      <c r="AC132" s="470">
        <v>61.402710540766407</v>
      </c>
      <c r="AD132" s="470">
        <v>68.440462833693573</v>
      </c>
      <c r="AE132" s="470">
        <v>78.82987639055294</v>
      </c>
      <c r="AF132" s="470">
        <v>61.217036038142581</v>
      </c>
    </row>
    <row r="133" spans="1:32">
      <c r="A133" s="21">
        <v>475</v>
      </c>
      <c r="B133" s="21" t="s">
        <v>99</v>
      </c>
      <c r="C133" s="1309">
        <v>19.196139860183948</v>
      </c>
      <c r="D133" s="1309">
        <v>26.580756777206361</v>
      </c>
      <c r="E133" s="1309">
        <v>22.310356884106788</v>
      </c>
      <c r="F133" s="1309">
        <v>17.52817449251015</v>
      </c>
      <c r="G133" s="1309">
        <v>12.952930298075712</v>
      </c>
      <c r="H133" s="1309">
        <v>12.439499069863865</v>
      </c>
      <c r="I133" s="1309">
        <v>20.497659522049766</v>
      </c>
      <c r="J133" s="1309">
        <v>24.670983147357305</v>
      </c>
      <c r="K133" s="1309">
        <v>22.026534841610268</v>
      </c>
      <c r="L133" s="1309">
        <v>25.155896485978879</v>
      </c>
      <c r="M133" s="1309">
        <v>28.809532031139096</v>
      </c>
      <c r="N133" s="472">
        <v>31.335753011212823</v>
      </c>
      <c r="O133" s="472">
        <v>40.50093778675874</v>
      </c>
      <c r="P133" s="472">
        <v>50.199942105698462</v>
      </c>
      <c r="Q133" s="472">
        <v>40.761784205599774</v>
      </c>
      <c r="R133" s="472">
        <v>42.184425937321294</v>
      </c>
      <c r="S133" s="472">
        <v>27.444818076355947</v>
      </c>
      <c r="T133" s="472">
        <v>37.750773816347589</v>
      </c>
      <c r="U133" s="472">
        <v>38.067018400257929</v>
      </c>
      <c r="V133" s="472">
        <v>41.132584899490837</v>
      </c>
      <c r="W133" s="472">
        <v>32.027846485194402</v>
      </c>
      <c r="X133" s="472">
        <v>32.288702405163974</v>
      </c>
      <c r="Y133" s="472">
        <v>32.553469739914128</v>
      </c>
      <c r="Z133" s="472">
        <v>40.439947438559557</v>
      </c>
      <c r="AA133" s="472">
        <v>31.057324573666513</v>
      </c>
      <c r="AB133" s="472">
        <v>31.046682062769399</v>
      </c>
      <c r="AC133" s="472">
        <v>27.729519166273487</v>
      </c>
      <c r="AD133" s="472">
        <v>25.939389832898861</v>
      </c>
      <c r="AE133" s="472">
        <v>29.454947696961863</v>
      </c>
      <c r="AF133" s="472">
        <v>27.166371846459182</v>
      </c>
    </row>
    <row r="134" spans="1:32">
      <c r="A134" s="21">
        <v>436</v>
      </c>
      <c r="B134" s="21" t="s">
        <v>90</v>
      </c>
      <c r="C134" s="1308">
        <v>38.13207618795132</v>
      </c>
      <c r="D134" s="1308">
        <v>36.209524661265881</v>
      </c>
      <c r="E134" s="1308">
        <v>36.093515128684338</v>
      </c>
      <c r="F134" s="1308">
        <v>26.910201277832769</v>
      </c>
      <c r="G134" s="1308">
        <v>26.969459403451001</v>
      </c>
      <c r="H134" s="1308">
        <v>32.833747051284959</v>
      </c>
      <c r="I134" s="1308">
        <v>20.685471094888449</v>
      </c>
      <c r="J134" s="1308">
        <v>25.182535978640203</v>
      </c>
      <c r="K134" s="1308">
        <v>23.586571295966621</v>
      </c>
      <c r="L134" s="1308">
        <v>23.2992946090631</v>
      </c>
      <c r="M134" s="1308">
        <v>21.957359681250903</v>
      </c>
      <c r="N134" s="471">
        <v>18.729150184730734</v>
      </c>
      <c r="O134" s="471">
        <v>17.836697421581302</v>
      </c>
      <c r="P134" s="471">
        <v>18.097375256221465</v>
      </c>
      <c r="Q134" s="471">
        <v>26.879710517995669</v>
      </c>
      <c r="R134" s="471">
        <v>24.311142495356528</v>
      </c>
      <c r="S134" s="471">
        <v>23.462087303565816</v>
      </c>
      <c r="T134" s="471">
        <v>24.039657182273267</v>
      </c>
      <c r="U134" s="471">
        <v>26.323833414479385</v>
      </c>
      <c r="V134" s="471">
        <v>22.388538700203771</v>
      </c>
      <c r="W134" s="471">
        <v>25.69509528272415</v>
      </c>
      <c r="X134" s="471">
        <v>24.614305750350631</v>
      </c>
      <c r="Y134" s="471">
        <v>24.114225277630883</v>
      </c>
      <c r="Z134" s="471">
        <v>25.190551181086494</v>
      </c>
      <c r="AA134" s="471">
        <v>26.029265873015873</v>
      </c>
      <c r="AB134" s="471">
        <v>24.219141473191915</v>
      </c>
      <c r="AC134" s="471"/>
      <c r="AD134" s="471"/>
      <c r="AE134" s="471"/>
      <c r="AF134" s="471"/>
    </row>
    <row r="135" spans="1:32">
      <c r="A135" s="21">
        <v>385</v>
      </c>
      <c r="B135" s="21" t="s">
        <v>78</v>
      </c>
      <c r="C135" s="1310">
        <v>37.147678091376498</v>
      </c>
      <c r="D135" s="1310">
        <v>35.991209083577445</v>
      </c>
      <c r="E135" s="1310">
        <v>36.360675778588316</v>
      </c>
      <c r="F135" s="1310">
        <v>33.948249619482496</v>
      </c>
      <c r="G135" s="1310">
        <v>34.042305717769366</v>
      </c>
      <c r="H135" s="1310">
        <v>35.388065861499697</v>
      </c>
      <c r="I135" s="1310">
        <v>37.685586765973248</v>
      </c>
      <c r="J135" s="1310">
        <v>34.626332748403755</v>
      </c>
      <c r="K135" s="1310">
        <v>33.654565753475076</v>
      </c>
      <c r="L135" s="1310">
        <v>34.468718110869972</v>
      </c>
      <c r="M135" s="1310">
        <v>33.781206963522727</v>
      </c>
      <c r="N135" s="473">
        <v>32.055607191705334</v>
      </c>
      <c r="O135" s="473">
        <v>31.135286725179789</v>
      </c>
      <c r="P135" s="473">
        <v>31.521010428272522</v>
      </c>
      <c r="Q135" s="473">
        <v>32.049699194476148</v>
      </c>
      <c r="R135" s="473">
        <v>31.793219897036053</v>
      </c>
      <c r="S135" s="473">
        <v>31.832575177470428</v>
      </c>
      <c r="T135" s="473">
        <v>33.149060692027611</v>
      </c>
      <c r="U135" s="473">
        <v>35.817285769406155</v>
      </c>
      <c r="V135" s="473">
        <v>32.043507633667787</v>
      </c>
      <c r="W135" s="473">
        <v>29.427689349673685</v>
      </c>
      <c r="X135" s="473">
        <v>28.822353237420838</v>
      </c>
      <c r="Y135" s="473">
        <v>27.747768560738805</v>
      </c>
      <c r="Z135" s="473">
        <v>27.330461417996695</v>
      </c>
      <c r="AA135" s="473">
        <v>28.500936007816225</v>
      </c>
      <c r="AB135" s="473">
        <v>28.16762569665871</v>
      </c>
      <c r="AC135" s="473">
        <v>28.374498106801671</v>
      </c>
      <c r="AD135" s="473">
        <v>30.436778897053934</v>
      </c>
      <c r="AE135" s="473">
        <v>29.206649292148278</v>
      </c>
      <c r="AF135" s="473">
        <v>27.337887058290345</v>
      </c>
    </row>
    <row r="136" spans="1:32">
      <c r="A136" s="21">
        <v>210</v>
      </c>
      <c r="B136" s="21" t="s">
        <v>37</v>
      </c>
      <c r="C136" s="1305">
        <v>52.422267323150884</v>
      </c>
      <c r="D136" s="1305">
        <v>53.02957253141102</v>
      </c>
      <c r="E136" s="1305">
        <v>52.630454581229834</v>
      </c>
      <c r="F136" s="1305">
        <v>53.290924696602602</v>
      </c>
      <c r="G136" s="1305">
        <v>55.325484942940321</v>
      </c>
      <c r="H136" s="1305">
        <v>57.907552271357929</v>
      </c>
      <c r="I136" s="1305">
        <v>49.173599663542184</v>
      </c>
      <c r="J136" s="1305">
        <v>49.043120677507943</v>
      </c>
      <c r="K136" s="1305">
        <v>51.193496203974341</v>
      </c>
      <c r="L136" s="1305">
        <v>54.118735262314523</v>
      </c>
      <c r="M136" s="1305">
        <v>52.645166056506824</v>
      </c>
      <c r="N136" s="468">
        <v>53.050218552695483</v>
      </c>
      <c r="O136" s="468">
        <v>51.589458030033654</v>
      </c>
      <c r="P136" s="468">
        <v>49.154931108317363</v>
      </c>
      <c r="Q136" s="468">
        <v>51.156015556045901</v>
      </c>
      <c r="R136" s="468">
        <v>53.683896730994128</v>
      </c>
      <c r="S136" s="468">
        <v>54.350674735344249</v>
      </c>
      <c r="T136" s="468">
        <v>57.645432843322034</v>
      </c>
      <c r="U136" s="468">
        <v>57.882162090580024</v>
      </c>
      <c r="V136" s="468">
        <v>58.829652531247334</v>
      </c>
      <c r="W136" s="468">
        <v>64.535362235620624</v>
      </c>
      <c r="X136" s="468">
        <v>61.488929736828588</v>
      </c>
      <c r="Y136" s="468">
        <v>57.631971522783068</v>
      </c>
      <c r="Z136" s="468">
        <v>56.723102244493596</v>
      </c>
      <c r="AA136" s="468">
        <v>59.019430600345288</v>
      </c>
      <c r="AB136" s="468">
        <v>61.099283804077466</v>
      </c>
      <c r="AC136" s="468">
        <v>65.09784974898929</v>
      </c>
      <c r="AD136" s="468">
        <v>66.336887863483526</v>
      </c>
      <c r="AE136" s="468">
        <v>68.442294880035178</v>
      </c>
      <c r="AF136" s="468">
        <v>62.185202592738086</v>
      </c>
    </row>
    <row r="137" spans="1:32">
      <c r="A137" s="21">
        <v>698</v>
      </c>
      <c r="B137" s="21" t="s">
        <v>147</v>
      </c>
      <c r="C137" s="1311">
        <v>37.655492960154774</v>
      </c>
      <c r="D137" s="1311">
        <v>38.088784406922464</v>
      </c>
      <c r="E137" s="1311">
        <v>43.151681320722155</v>
      </c>
      <c r="F137" s="1311">
        <v>38.067084074031925</v>
      </c>
      <c r="G137" s="1311">
        <v>37.579177131685867</v>
      </c>
      <c r="H137" s="1311">
        <v>37.182788034823822</v>
      </c>
      <c r="I137" s="1311">
        <v>40.926471627071784</v>
      </c>
      <c r="J137" s="1311">
        <v>29.067053692578888</v>
      </c>
      <c r="K137" s="1311">
        <v>31.353698247790359</v>
      </c>
      <c r="L137" s="1311"/>
      <c r="M137" s="1311">
        <v>27.59910080348995</v>
      </c>
      <c r="N137" s="474">
        <v>34.741331857745976</v>
      </c>
      <c r="O137" s="474">
        <v>35.547943760083569</v>
      </c>
      <c r="P137" s="474">
        <v>38.054792215387543</v>
      </c>
      <c r="Q137" s="474">
        <v>34.787510289463079</v>
      </c>
      <c r="R137" s="474">
        <v>35.556141738844055</v>
      </c>
      <c r="S137" s="474">
        <v>35.765963567642821</v>
      </c>
      <c r="T137" s="474">
        <v>38.591017280542388</v>
      </c>
      <c r="U137" s="474">
        <v>49.724640633392816</v>
      </c>
      <c r="V137" s="474">
        <v>37.562792348809545</v>
      </c>
      <c r="W137" s="474">
        <v>31.351450372615652</v>
      </c>
      <c r="X137" s="474">
        <v>36.12541550128681</v>
      </c>
      <c r="Y137" s="474">
        <v>28.04514204176936</v>
      </c>
      <c r="Z137" s="474">
        <v>32.93492695883134</v>
      </c>
      <c r="AA137" s="474">
        <v>39.01127859175714</v>
      </c>
      <c r="AB137" s="474">
        <v>31.237902886476476</v>
      </c>
      <c r="AC137" s="474">
        <v>32.004805314112076</v>
      </c>
      <c r="AD137" s="474">
        <v>29.08030284224898</v>
      </c>
      <c r="AE137" s="474">
        <v>37.955574725037735</v>
      </c>
      <c r="AF137" s="474"/>
    </row>
    <row r="138" spans="1:32">
      <c r="A138" s="21">
        <v>770</v>
      </c>
      <c r="B138" s="21" t="s">
        <v>162</v>
      </c>
      <c r="C138" s="1312">
        <v>24.09991670656224</v>
      </c>
      <c r="D138" s="1312">
        <v>23.012317447102827</v>
      </c>
      <c r="E138" s="1312">
        <v>21.764498893510549</v>
      </c>
      <c r="F138" s="1312">
        <v>22.9775694863289</v>
      </c>
      <c r="G138" s="1312">
        <v>22.626136297998492</v>
      </c>
      <c r="H138" s="1312">
        <v>22.814178107594319</v>
      </c>
      <c r="I138" s="1312">
        <v>22.666603448634916</v>
      </c>
      <c r="J138" s="1312">
        <v>21.003626820994636</v>
      </c>
      <c r="K138" s="1312">
        <v>21.670185135913247</v>
      </c>
      <c r="L138" s="1312">
        <v>21.74695839903649</v>
      </c>
      <c r="M138" s="1312">
        <v>23.37118799717074</v>
      </c>
      <c r="N138" s="475">
        <v>18.557740350380243</v>
      </c>
      <c r="O138" s="475">
        <v>20.528557820916625</v>
      </c>
      <c r="P138" s="475">
        <v>22.440870160782751</v>
      </c>
      <c r="Q138" s="475">
        <v>19.044535149483956</v>
      </c>
      <c r="R138" s="475">
        <v>19.422784017767089</v>
      </c>
      <c r="S138" s="475">
        <v>21.427025058804166</v>
      </c>
      <c r="T138" s="475">
        <v>20.770312875775435</v>
      </c>
      <c r="U138" s="475">
        <v>17.526934004965536</v>
      </c>
      <c r="V138" s="475">
        <v>16.966463482076342</v>
      </c>
      <c r="W138" s="475">
        <v>14.688282697496231</v>
      </c>
      <c r="X138" s="475">
        <v>15.711994162294211</v>
      </c>
      <c r="Y138" s="475">
        <v>15.314012721401662</v>
      </c>
      <c r="Z138" s="475">
        <v>16.125528340027827</v>
      </c>
      <c r="AA138" s="475">
        <v>14.633229206925529</v>
      </c>
      <c r="AB138" s="475">
        <v>19.563794601111237</v>
      </c>
      <c r="AC138" s="475">
        <v>23.223644123436273</v>
      </c>
      <c r="AD138" s="475">
        <v>21.343093577579264</v>
      </c>
      <c r="AE138" s="475">
        <v>14.117313050856509</v>
      </c>
      <c r="AF138" s="475">
        <v>20.373039850742614</v>
      </c>
    </row>
    <row r="139" spans="1:32">
      <c r="A139" s="21">
        <v>986</v>
      </c>
      <c r="B139" s="21" t="s">
        <v>188</v>
      </c>
      <c r="N139" s="476">
        <v>38.518871862142987</v>
      </c>
      <c r="O139" s="476">
        <v>46.209263683884977</v>
      </c>
      <c r="P139" s="476">
        <v>55.594345712516635</v>
      </c>
      <c r="Q139" s="476">
        <v>52.91702084355957</v>
      </c>
      <c r="R139" s="476">
        <v>63.460629797242674</v>
      </c>
      <c r="S139" s="476">
        <v>66.933449164995423</v>
      </c>
      <c r="T139" s="476">
        <v>64.386598712162041</v>
      </c>
      <c r="U139" s="476">
        <v>53.888510057961135</v>
      </c>
      <c r="V139" s="476">
        <v>73.888179054500597</v>
      </c>
      <c r="W139" s="476">
        <v>106.06025212117167</v>
      </c>
      <c r="X139" s="476">
        <v>89.459793351302778</v>
      </c>
      <c r="Y139" s="476">
        <v>91.286258423674184</v>
      </c>
      <c r="Z139" s="476">
        <v>78.968124633335506</v>
      </c>
      <c r="AA139" s="476">
        <v>88.545971847858638</v>
      </c>
      <c r="AB139" s="476">
        <v>80.794620018153324</v>
      </c>
      <c r="AC139" s="476">
        <v>83.046215536286667</v>
      </c>
      <c r="AD139" s="476">
        <v>64.074283731716676</v>
      </c>
      <c r="AE139" s="476">
        <v>100.24378017162503</v>
      </c>
      <c r="AF139" s="476"/>
    </row>
    <row r="140" spans="1:32">
      <c r="A140" s="21">
        <v>95</v>
      </c>
      <c r="B140" s="21" t="s">
        <v>22</v>
      </c>
      <c r="C140" s="1313">
        <v>88.754166338608513</v>
      </c>
      <c r="D140" s="1313">
        <v>87.483479027059616</v>
      </c>
      <c r="E140" s="1313">
        <v>73.450584506894458</v>
      </c>
      <c r="F140" s="1313">
        <v>56.331895582493509</v>
      </c>
      <c r="G140" s="1313">
        <v>58.012651038912708</v>
      </c>
      <c r="H140" s="1313">
        <v>59.540910773787481</v>
      </c>
      <c r="I140" s="1313">
        <v>61.501327110461901</v>
      </c>
      <c r="J140" s="1313">
        <v>62.736995193586722</v>
      </c>
      <c r="K140" s="1313">
        <v>58.609088111601196</v>
      </c>
      <c r="L140" s="1313">
        <v>70.217902813299233</v>
      </c>
      <c r="M140" s="1313">
        <v>78.602348866972832</v>
      </c>
      <c r="N140" s="477">
        <v>92.937712887047908</v>
      </c>
      <c r="O140" s="477">
        <v>96.205619297136153</v>
      </c>
      <c r="P140" s="477">
        <v>92.612406414163004</v>
      </c>
      <c r="Q140" s="477">
        <v>94.994763314757108</v>
      </c>
      <c r="R140" s="477">
        <v>98.069844803379667</v>
      </c>
      <c r="S140" s="477">
        <v>82.177835466257605</v>
      </c>
      <c r="T140" s="477">
        <v>85.705077350257824</v>
      </c>
      <c r="U140" s="477">
        <v>81.105876972330208</v>
      </c>
      <c r="V140" s="477">
        <v>67.737402128086728</v>
      </c>
      <c r="W140" s="477">
        <v>69.818854610386822</v>
      </c>
      <c r="X140" s="477">
        <v>65.923353800550501</v>
      </c>
      <c r="Y140" s="477">
        <v>62.285290570711517</v>
      </c>
      <c r="Z140" s="477">
        <v>58.542356106763982</v>
      </c>
      <c r="AA140" s="477">
        <v>63.907950321948192</v>
      </c>
      <c r="AB140" s="477">
        <v>69.057272368684806</v>
      </c>
      <c r="AC140" s="477">
        <v>69.477738227227633</v>
      </c>
      <c r="AD140" s="477">
        <v>73.939577649792867</v>
      </c>
      <c r="AE140" s="477">
        <v>75.351966873706004</v>
      </c>
      <c r="AF140" s="477">
        <v>61.114483428432685</v>
      </c>
    </row>
    <row r="141" spans="1:32">
      <c r="A141" s="21">
        <v>150</v>
      </c>
      <c r="B141" s="21" t="s">
        <v>31</v>
      </c>
      <c r="C141" s="1315">
        <v>28.703633232752562</v>
      </c>
      <c r="D141" s="1315">
        <v>23.158816331513687</v>
      </c>
      <c r="E141" s="1315">
        <v>19.750408022061773</v>
      </c>
      <c r="F141" s="1315">
        <v>13.396895351077426</v>
      </c>
      <c r="G141" s="1315">
        <v>22.072511736224026</v>
      </c>
      <c r="H141" s="1315">
        <v>26.322880817472356</v>
      </c>
      <c r="I141" s="1315">
        <v>31.970660114543975</v>
      </c>
      <c r="J141" s="1315">
        <v>34.921600167529945</v>
      </c>
      <c r="K141" s="1315">
        <v>36.914002185217825</v>
      </c>
      <c r="L141" s="1315">
        <v>32.034329466172537</v>
      </c>
      <c r="M141" s="1315">
        <v>39.493126776226369</v>
      </c>
      <c r="N141" s="479">
        <v>38.214348681906557</v>
      </c>
      <c r="O141" s="479">
        <v>38.583483278525783</v>
      </c>
      <c r="P141" s="479">
        <v>47.868100436134995</v>
      </c>
      <c r="Q141" s="479">
        <v>67.362479303826191</v>
      </c>
      <c r="R141" s="479">
        <v>71.248195914354042</v>
      </c>
      <c r="S141" s="479">
        <v>62.215452076151898</v>
      </c>
      <c r="T141" s="479">
        <v>58.816485320663183</v>
      </c>
      <c r="U141" s="479">
        <v>59.724579274148724</v>
      </c>
      <c r="V141" s="479">
        <v>46.628128685896513</v>
      </c>
      <c r="W141" s="479">
        <v>48.967830786699437</v>
      </c>
      <c r="X141" s="479">
        <v>44.439586190251319</v>
      </c>
      <c r="Y141" s="479">
        <v>48.756943581922521</v>
      </c>
      <c r="Z141" s="479">
        <v>51.294513739250391</v>
      </c>
      <c r="AA141" s="479">
        <v>50.005335249475912</v>
      </c>
      <c r="AB141" s="479">
        <v>55.609662667799697</v>
      </c>
      <c r="AC141" s="479">
        <v>58.237354182133359</v>
      </c>
      <c r="AD141" s="479">
        <v>53.916444829348912</v>
      </c>
      <c r="AE141" s="479">
        <v>55.564397443689231</v>
      </c>
      <c r="AF141" s="479">
        <v>51.597401015783241</v>
      </c>
    </row>
    <row r="142" spans="1:32">
      <c r="A142" s="21">
        <v>135</v>
      </c>
      <c r="B142" s="21" t="s">
        <v>28</v>
      </c>
      <c r="C142" s="1316">
        <v>19.419589860780697</v>
      </c>
      <c r="D142" s="1316">
        <v>19.698406676783005</v>
      </c>
      <c r="E142" s="1316">
        <v>19.541471032446633</v>
      </c>
      <c r="F142" s="1316">
        <v>19.496130380271616</v>
      </c>
      <c r="G142" s="1316">
        <v>15.407445222603977</v>
      </c>
      <c r="H142" s="1316">
        <v>16.456811618821131</v>
      </c>
      <c r="I142" s="1316">
        <v>15.325823946599918</v>
      </c>
      <c r="J142" s="1316">
        <v>12.717839025709814</v>
      </c>
      <c r="K142" s="1316">
        <v>22.608790385554386</v>
      </c>
      <c r="L142" s="1316">
        <v>12.2544432368376</v>
      </c>
      <c r="M142" s="1316">
        <v>13.834447915914541</v>
      </c>
      <c r="N142" s="480">
        <v>14.488706498468161</v>
      </c>
      <c r="O142" s="480">
        <v>15.607475625123209</v>
      </c>
      <c r="P142" s="480">
        <v>16.017494441991513</v>
      </c>
      <c r="Q142" s="480">
        <v>15.695882721406331</v>
      </c>
      <c r="R142" s="480">
        <v>18.25313546604043</v>
      </c>
      <c r="S142" s="480">
        <v>18.153521806209547</v>
      </c>
      <c r="T142" s="480">
        <v>18.582408303070022</v>
      </c>
      <c r="U142" s="480">
        <v>18.531964517597093</v>
      </c>
      <c r="V142" s="480">
        <v>17.455983525248342</v>
      </c>
      <c r="W142" s="480">
        <v>18.156123201168636</v>
      </c>
      <c r="X142" s="480">
        <v>17.796636034917846</v>
      </c>
      <c r="Y142" s="480">
        <v>17.304542120117532</v>
      </c>
      <c r="Z142" s="480">
        <v>17.799706368801846</v>
      </c>
      <c r="AA142" s="480">
        <v>17.815715458383334</v>
      </c>
      <c r="AB142" s="480">
        <v>19.166859268934154</v>
      </c>
      <c r="AC142" s="480">
        <v>19.855128805461618</v>
      </c>
      <c r="AD142" s="480">
        <v>22.361166094090965</v>
      </c>
      <c r="AE142" s="480">
        <v>26.477228007764143</v>
      </c>
      <c r="AF142" s="480">
        <v>19.724736490161813</v>
      </c>
    </row>
    <row r="143" spans="1:32">
      <c r="A143" s="21">
        <v>840</v>
      </c>
      <c r="B143" s="21" t="s">
        <v>175</v>
      </c>
      <c r="C143" s="1317">
        <v>28.471091163450929</v>
      </c>
      <c r="D143" s="1317">
        <v>27.171550732254719</v>
      </c>
      <c r="E143" s="1317">
        <v>26.135879966075727</v>
      </c>
      <c r="F143" s="1317">
        <v>28.081132121481428</v>
      </c>
      <c r="G143" s="1317">
        <v>25.073167569463905</v>
      </c>
      <c r="H143" s="1317">
        <v>21.893464222576995</v>
      </c>
      <c r="I143" s="1317">
        <v>22.374430723598959</v>
      </c>
      <c r="J143" s="1317">
        <v>26.221359064039696</v>
      </c>
      <c r="K143" s="1317">
        <v>26.939045173690097</v>
      </c>
      <c r="L143" s="1317">
        <v>30.268498147916027</v>
      </c>
      <c r="M143" s="1317">
        <v>33.28404055931982</v>
      </c>
      <c r="N143" s="481">
        <v>32.587693537957598</v>
      </c>
      <c r="O143" s="481">
        <v>34.028185229057698</v>
      </c>
      <c r="P143" s="481">
        <v>39.806857711008185</v>
      </c>
      <c r="Q143" s="481">
        <v>40.133862435112569</v>
      </c>
      <c r="R143" s="481">
        <v>44.181251249376295</v>
      </c>
      <c r="S143" s="481">
        <v>49.293298746455903</v>
      </c>
      <c r="T143" s="481">
        <v>59.293835399957885</v>
      </c>
      <c r="U143" s="481">
        <v>58.783704682070947</v>
      </c>
      <c r="V143" s="481">
        <v>51.308926552913178</v>
      </c>
      <c r="W143" s="481">
        <v>53.498153501015132</v>
      </c>
      <c r="X143" s="481">
        <v>52.303417290059073</v>
      </c>
      <c r="Y143" s="481">
        <v>50.720204890571644</v>
      </c>
      <c r="Z143" s="481">
        <v>55.564529076640902</v>
      </c>
      <c r="AA143" s="481">
        <v>54.582357087697275</v>
      </c>
      <c r="AB143" s="481">
        <v>51.730776389498125</v>
      </c>
      <c r="AC143" s="481">
        <v>47.970893434447063</v>
      </c>
      <c r="AD143" s="481">
        <v>42.269222072654379</v>
      </c>
      <c r="AE143" s="481">
        <v>38.35688011282376</v>
      </c>
      <c r="AF143" s="481">
        <v>30.79549676689286</v>
      </c>
    </row>
    <row r="144" spans="1:32">
      <c r="A144" s="21">
        <v>910</v>
      </c>
      <c r="B144" s="21" t="s">
        <v>178</v>
      </c>
      <c r="C144" s="1314">
        <v>53.322413504078938</v>
      </c>
      <c r="D144" s="1314">
        <v>58.743762074708542</v>
      </c>
      <c r="E144" s="1314">
        <v>60.496226846558429</v>
      </c>
      <c r="F144" s="1314">
        <v>53.451576060887021</v>
      </c>
      <c r="G144" s="1314">
        <v>53.145573221443513</v>
      </c>
      <c r="H144" s="1314">
        <v>52.440078778001087</v>
      </c>
      <c r="I144" s="1314">
        <v>51.354815517881235</v>
      </c>
      <c r="J144" s="1314">
        <v>49.672423490366349</v>
      </c>
      <c r="K144" s="1314">
        <v>51.922652806386196</v>
      </c>
      <c r="L144" s="1314">
        <v>52.746494007945635</v>
      </c>
      <c r="M144" s="1314">
        <v>48.94675144658995</v>
      </c>
      <c r="N144" s="478">
        <v>52.154980252939879</v>
      </c>
      <c r="O144" s="478">
        <v>45.702107506511958</v>
      </c>
      <c r="P144" s="478">
        <v>36.946026668858252</v>
      </c>
      <c r="Q144" s="478">
        <v>39.768057219425714</v>
      </c>
      <c r="R144" s="478">
        <v>43.700994299749141</v>
      </c>
      <c r="S144" s="478">
        <v>48.398844260224585</v>
      </c>
      <c r="T144" s="478">
        <v>50.050451445202413</v>
      </c>
      <c r="U144" s="478">
        <v>48.819442533295273</v>
      </c>
      <c r="V144" s="478">
        <v>52.888438500342474</v>
      </c>
      <c r="W144" s="478">
        <v>49.243478897152137</v>
      </c>
      <c r="X144" s="478">
        <v>52.250400055818282</v>
      </c>
      <c r="Y144" s="478">
        <v>58.003300111177815</v>
      </c>
      <c r="Z144" s="478">
        <v>54.031102947220901</v>
      </c>
      <c r="AA144" s="478">
        <v>58.918861472691987</v>
      </c>
      <c r="AB144" s="478">
        <v>64.069391097063374</v>
      </c>
      <c r="AC144" s="478">
        <v>65.789790096076516</v>
      </c>
      <c r="AD144" s="478">
        <v>68.134519076184091</v>
      </c>
      <c r="AE144" s="478">
        <v>61.836363320192824</v>
      </c>
      <c r="AF144" s="478">
        <v>57.124840384221308</v>
      </c>
    </row>
    <row r="145" spans="1:32">
      <c r="A145" s="21">
        <v>290</v>
      </c>
      <c r="B145" s="21" t="s">
        <v>48</v>
      </c>
      <c r="C145" s="1318"/>
      <c r="D145" s="1318"/>
      <c r="E145" s="1318"/>
      <c r="F145" s="1318"/>
      <c r="G145" s="1318"/>
      <c r="H145" s="1318"/>
      <c r="I145" s="1318"/>
      <c r="J145" s="1318"/>
      <c r="K145" s="1318"/>
      <c r="L145" s="1318"/>
      <c r="M145" s="1318">
        <v>21.50744917695965</v>
      </c>
      <c r="N145" s="482">
        <v>25.443079501196443</v>
      </c>
      <c r="O145" s="482">
        <v>22.166184409799556</v>
      </c>
      <c r="P145" s="482">
        <v>21.963472924915116</v>
      </c>
      <c r="Q145" s="482">
        <v>21.612376691103467</v>
      </c>
      <c r="R145" s="482">
        <v>21.047001988898113</v>
      </c>
      <c r="S145" s="482">
        <v>23.739654641012905</v>
      </c>
      <c r="T145" s="482">
        <v>27.334806497757263</v>
      </c>
      <c r="U145" s="482">
        <v>30.812949667824313</v>
      </c>
      <c r="V145" s="482">
        <v>30.075687185646643</v>
      </c>
      <c r="W145" s="482">
        <v>33.546437428295839</v>
      </c>
      <c r="X145" s="482">
        <v>30.720808226344015</v>
      </c>
      <c r="Y145" s="482">
        <v>32.097914067454688</v>
      </c>
      <c r="Z145" s="482">
        <v>36.004562381205282</v>
      </c>
      <c r="AA145" s="482">
        <v>39.843214597221355</v>
      </c>
      <c r="AB145" s="482">
        <v>37.826159869655548</v>
      </c>
      <c r="AC145" s="482">
        <v>42.161741623880204</v>
      </c>
      <c r="AD145" s="482">
        <v>43.63131531463241</v>
      </c>
      <c r="AE145" s="482">
        <v>43.958578225756646</v>
      </c>
      <c r="AF145" s="482">
        <v>38.778600901063648</v>
      </c>
    </row>
    <row r="146" spans="1:32">
      <c r="A146" s="21">
        <v>235</v>
      </c>
      <c r="B146" s="21" t="s">
        <v>46</v>
      </c>
      <c r="C146" s="1319">
        <v>33.563280834509527</v>
      </c>
      <c r="D146" s="1319">
        <v>36.087696237742215</v>
      </c>
      <c r="E146" s="1319">
        <v>35.916773650466077</v>
      </c>
      <c r="F146" s="1319">
        <v>35.197679385106824</v>
      </c>
      <c r="G146" s="1319">
        <v>36.074439272086245</v>
      </c>
      <c r="H146" s="1319">
        <v>33.045289696955194</v>
      </c>
      <c r="I146" s="1319">
        <v>28.694855682192337</v>
      </c>
      <c r="J146" s="1319">
        <v>33.007614081171155</v>
      </c>
      <c r="K146" s="1319">
        <v>36.412497637454798</v>
      </c>
      <c r="L146" s="1319">
        <v>36.249693865124208</v>
      </c>
      <c r="M146" s="1319">
        <v>36.743936430409633</v>
      </c>
      <c r="N146" s="483">
        <v>34.627161991351258</v>
      </c>
      <c r="O146" s="483">
        <v>32.60964399965129</v>
      </c>
      <c r="P146" s="483">
        <v>31.305690077637809</v>
      </c>
      <c r="Q146" s="483">
        <v>32.809494725842967</v>
      </c>
      <c r="R146" s="483">
        <v>33.936748532679921</v>
      </c>
      <c r="S146" s="483">
        <v>34.42210818290026</v>
      </c>
      <c r="T146" s="483">
        <v>35.963461479425355</v>
      </c>
      <c r="U146" s="483">
        <v>37.275531973832038</v>
      </c>
      <c r="V146" s="483">
        <v>37.503878516516011</v>
      </c>
      <c r="W146" s="483">
        <v>40.022952975218004</v>
      </c>
      <c r="X146" s="483">
        <v>38.417568048118085</v>
      </c>
      <c r="Y146" s="483">
        <v>36.013267257495968</v>
      </c>
      <c r="Z146" s="483">
        <v>34.533591722232167</v>
      </c>
      <c r="AA146" s="483">
        <v>36.48130115825446</v>
      </c>
      <c r="AB146" s="483">
        <v>37.20229950854916</v>
      </c>
      <c r="AC146" s="483">
        <v>39.735368898001099</v>
      </c>
      <c r="AD146" s="483">
        <v>40.325972963843142</v>
      </c>
      <c r="AE146" s="483">
        <v>42.604151579716394</v>
      </c>
      <c r="AF146" s="483">
        <v>35.637838724590999</v>
      </c>
    </row>
    <row r="147" spans="1:32">
      <c r="A147" s="21">
        <v>731</v>
      </c>
      <c r="B147" s="21" t="s">
        <v>157</v>
      </c>
    </row>
    <row r="148" spans="1:32">
      <c r="A148" s="21">
        <v>694</v>
      </c>
      <c r="B148" s="21" t="s">
        <v>145</v>
      </c>
      <c r="N148" s="484"/>
      <c r="O148" s="484"/>
      <c r="P148" s="484"/>
      <c r="Q148" s="484">
        <v>33.774168695745324</v>
      </c>
      <c r="R148" s="484">
        <v>43.329283932160052</v>
      </c>
      <c r="S148" s="484">
        <v>39.783478770568969</v>
      </c>
      <c r="T148" s="484">
        <v>36.166229191191391</v>
      </c>
      <c r="U148" s="484">
        <v>39.962494596089215</v>
      </c>
      <c r="V148" s="484">
        <v>25.692181507836224</v>
      </c>
      <c r="W148" s="484">
        <v>22.329301116851777</v>
      </c>
      <c r="X148" s="484">
        <v>29.075814536340854</v>
      </c>
      <c r="Y148" s="484">
        <v>28.12695079734408</v>
      </c>
      <c r="Z148" s="484">
        <v>28.467366307507326</v>
      </c>
      <c r="AA148" s="484">
        <v>28.130583357907334</v>
      </c>
      <c r="AB148" s="484">
        <v>33.003970229660553</v>
      </c>
      <c r="AC148" s="484">
        <v>35.980981617379932</v>
      </c>
      <c r="AD148" s="484">
        <v>33.611401237697024</v>
      </c>
      <c r="AE148" s="484">
        <v>29.226065961443499</v>
      </c>
      <c r="AF148" s="484">
        <v>31.218912423852903</v>
      </c>
    </row>
    <row r="149" spans="1:32">
      <c r="A149" s="21">
        <v>732</v>
      </c>
      <c r="B149" s="21" t="s">
        <v>158</v>
      </c>
      <c r="C149" s="1276">
        <v>39.965028923349898</v>
      </c>
      <c r="D149" s="1276">
        <v>39.668232910851465</v>
      </c>
      <c r="E149" s="1276">
        <v>35.753460058576927</v>
      </c>
      <c r="F149" s="1276">
        <v>34.074293271262114</v>
      </c>
      <c r="G149" s="1276">
        <v>33.643788718183536</v>
      </c>
      <c r="H149" s="1276">
        <v>31.380745671898179</v>
      </c>
      <c r="I149" s="1276">
        <v>30.579358130593832</v>
      </c>
      <c r="J149" s="1276">
        <v>31.200006251932024</v>
      </c>
      <c r="K149" s="1276">
        <v>29.278579841953444</v>
      </c>
      <c r="L149" s="1276">
        <v>28.735892887721441</v>
      </c>
      <c r="M149" s="1276">
        <v>29.029175513737155</v>
      </c>
      <c r="N149" s="438">
        <v>28.989170713361283</v>
      </c>
      <c r="O149" s="438">
        <v>27.74844733762184</v>
      </c>
      <c r="P149" s="438">
        <v>26.137496968268742</v>
      </c>
      <c r="Q149" s="438">
        <v>27.379969089516358</v>
      </c>
      <c r="R149" s="438">
        <v>29.921043070903274</v>
      </c>
      <c r="S149" s="438">
        <v>31.336497573319804</v>
      </c>
      <c r="T149" s="438">
        <v>32.996175388101193</v>
      </c>
      <c r="U149" s="438">
        <v>33.294581233572707</v>
      </c>
      <c r="V149" s="438">
        <v>32.3772293690118</v>
      </c>
      <c r="W149" s="438">
        <v>35.707152756135244</v>
      </c>
      <c r="X149" s="438">
        <v>33.47838674934205</v>
      </c>
      <c r="Y149" s="438">
        <v>31.650518799193218</v>
      </c>
      <c r="Z149" s="438">
        <v>33.100647270411152</v>
      </c>
      <c r="AA149" s="438">
        <v>36.725248632621863</v>
      </c>
      <c r="AB149" s="438">
        <v>36.565241757470837</v>
      </c>
      <c r="AC149" s="438">
        <v>38.297141614611292</v>
      </c>
      <c r="AD149" s="438">
        <v>40.412394501406645</v>
      </c>
      <c r="AE149" s="438">
        <v>54.186460581977649</v>
      </c>
      <c r="AF149" s="438">
        <v>45.982899727776186</v>
      </c>
    </row>
    <row r="150" spans="1:32">
      <c r="A150" s="21">
        <v>360</v>
      </c>
      <c r="B150" s="21" t="s">
        <v>66</v>
      </c>
      <c r="C150" s="1320"/>
      <c r="D150" s="1320"/>
      <c r="E150" s="1320"/>
      <c r="F150" s="1320"/>
      <c r="G150" s="1320"/>
      <c r="H150" s="1320"/>
      <c r="I150" s="1320"/>
      <c r="J150" s="1320"/>
      <c r="K150" s="1320"/>
      <c r="L150" s="1320"/>
      <c r="M150" s="1320">
        <v>26.180207483389673</v>
      </c>
      <c r="N150" s="485">
        <v>21.534552384409455</v>
      </c>
      <c r="O150" s="485">
        <v>36.198832349233726</v>
      </c>
      <c r="P150" s="485">
        <v>27.987399706726563</v>
      </c>
      <c r="Q150" s="485">
        <v>26.965716515274458</v>
      </c>
      <c r="R150" s="485">
        <v>33.212773259071902</v>
      </c>
      <c r="S150" s="485">
        <v>36.56899286243452</v>
      </c>
      <c r="T150" s="485">
        <v>36.240365094808958</v>
      </c>
      <c r="U150" s="485">
        <v>30.648412129303615</v>
      </c>
      <c r="V150" s="485">
        <v>32.850391837995012</v>
      </c>
      <c r="W150" s="485">
        <v>37.900136600864258</v>
      </c>
      <c r="X150" s="485">
        <v>41.069421223578374</v>
      </c>
      <c r="Y150" s="485">
        <v>41.080617712005044</v>
      </c>
      <c r="Z150" s="485">
        <v>42.201512538634326</v>
      </c>
      <c r="AA150" s="485">
        <v>45.034645583447755</v>
      </c>
      <c r="AB150" s="485">
        <v>43.282632082539571</v>
      </c>
      <c r="AC150" s="485">
        <v>38.633651157800607</v>
      </c>
      <c r="AD150" s="485">
        <v>42.852082861410288</v>
      </c>
      <c r="AE150" s="485">
        <v>43.772158052539986</v>
      </c>
      <c r="AF150" s="485">
        <v>40.244567205345831</v>
      </c>
    </row>
    <row r="151" spans="1:32">
      <c r="A151" s="21">
        <v>365</v>
      </c>
      <c r="B151" s="21" t="s">
        <v>67</v>
      </c>
      <c r="C151" s="1321"/>
      <c r="D151" s="1321"/>
      <c r="E151" s="1321"/>
      <c r="F151" s="1321"/>
      <c r="G151" s="1321"/>
      <c r="H151" s="1321"/>
      <c r="I151" s="1321"/>
      <c r="J151" s="1321"/>
      <c r="K151" s="1321"/>
      <c r="L151" s="1321">
        <v>21.012217260192564</v>
      </c>
      <c r="M151" s="1321">
        <v>17.944737500155231</v>
      </c>
      <c r="N151" s="486">
        <v>12.98534099792635</v>
      </c>
      <c r="O151" s="486">
        <v>48.254602840610204</v>
      </c>
      <c r="P151" s="486">
        <v>30.493848755174625</v>
      </c>
      <c r="Q151" s="486">
        <v>23.195333606221858</v>
      </c>
      <c r="R151" s="486">
        <v>25.894294714735739</v>
      </c>
      <c r="S151" s="486">
        <v>21.849785835242557</v>
      </c>
      <c r="T151" s="486">
        <v>22.527214514407685</v>
      </c>
      <c r="U151" s="486">
        <v>24.551262549437176</v>
      </c>
      <c r="V151" s="486">
        <v>26.173494775252941</v>
      </c>
      <c r="W151" s="486">
        <v>24.033618046430135</v>
      </c>
      <c r="X151" s="486">
        <v>24.217317411333244</v>
      </c>
      <c r="Y151" s="486">
        <v>24.458342604893538</v>
      </c>
      <c r="Z151" s="486">
        <v>23.878287231202599</v>
      </c>
      <c r="AA151" s="486">
        <v>22.163961342550031</v>
      </c>
      <c r="AB151" s="486">
        <v>21.510182525098607</v>
      </c>
      <c r="AC151" s="486">
        <v>21.002926423211989</v>
      </c>
      <c r="AD151" s="486">
        <v>21.54206226103889</v>
      </c>
      <c r="AE151" s="486">
        <v>21.992074507426238</v>
      </c>
      <c r="AF151" s="486">
        <v>20.367946372020992</v>
      </c>
    </row>
    <row r="152" spans="1:32">
      <c r="A152" s="21">
        <v>517</v>
      </c>
      <c r="B152" s="21" t="s">
        <v>109</v>
      </c>
      <c r="C152" s="1322">
        <v>26.382072863512512</v>
      </c>
      <c r="D152" s="1322">
        <v>21.754729888102116</v>
      </c>
      <c r="E152" s="1322">
        <v>24.150490826896693</v>
      </c>
      <c r="F152" s="1322">
        <v>20.758989888607836</v>
      </c>
      <c r="G152" s="1322">
        <v>19.664259349741258</v>
      </c>
      <c r="H152" s="1322">
        <v>19.887388666293269</v>
      </c>
      <c r="I152" s="1322">
        <v>20.154516827363999</v>
      </c>
      <c r="J152" s="1322">
        <v>19.141228671440551</v>
      </c>
      <c r="K152" s="1322">
        <v>17.603287732854461</v>
      </c>
      <c r="L152" s="1322">
        <v>17.288484083873865</v>
      </c>
      <c r="M152" s="1322">
        <v>14.069549741434725</v>
      </c>
      <c r="N152" s="487">
        <v>18.055369337082933</v>
      </c>
      <c r="O152" s="487">
        <v>18.263038849369508</v>
      </c>
      <c r="P152" s="487">
        <v>20.503761036861135</v>
      </c>
      <c r="Q152" s="487">
        <v>64.793042314100646</v>
      </c>
      <c r="R152" s="487">
        <v>25.821381241284847</v>
      </c>
      <c r="S152" s="487">
        <v>26.198695794499709</v>
      </c>
      <c r="T152" s="487">
        <v>25.670121148278046</v>
      </c>
      <c r="U152" s="487">
        <v>23.209400011771798</v>
      </c>
      <c r="V152" s="487">
        <v>23.1973941487906</v>
      </c>
      <c r="W152" s="487">
        <v>25.669128405863134</v>
      </c>
      <c r="X152" s="487">
        <v>25.47624152525642</v>
      </c>
      <c r="Y152" s="487">
        <v>26.237475440193592</v>
      </c>
      <c r="Z152" s="487">
        <v>25.127526972729765</v>
      </c>
      <c r="AA152" s="487">
        <v>24.762362415645981</v>
      </c>
      <c r="AB152" s="487">
        <v>25.213999874100381</v>
      </c>
      <c r="AC152" s="487">
        <v>25.283525847455842</v>
      </c>
      <c r="AD152" s="487">
        <v>25.539340316596824</v>
      </c>
      <c r="AE152" s="487">
        <v>30.326416530838422</v>
      </c>
      <c r="AF152" s="487">
        <v>29.226863800534638</v>
      </c>
    </row>
    <row r="153" spans="1:32">
      <c r="A153" s="21">
        <v>560</v>
      </c>
      <c r="B153" s="21" t="s">
        <v>119</v>
      </c>
      <c r="C153" s="1331">
        <v>27.348956159870287</v>
      </c>
      <c r="D153" s="1331">
        <v>30.364469828037222</v>
      </c>
      <c r="E153" s="1331">
        <v>26.869347026205219</v>
      </c>
      <c r="F153" s="1331">
        <v>21.002649137378494</v>
      </c>
      <c r="G153" s="1331">
        <v>23.657130593821492</v>
      </c>
      <c r="H153" s="1331">
        <v>22.568534921322183</v>
      </c>
      <c r="I153" s="1331">
        <v>21.767796838615595</v>
      </c>
      <c r="J153" s="1331">
        <v>20.347328470927682</v>
      </c>
      <c r="K153" s="1331">
        <v>22.609762867247333</v>
      </c>
      <c r="L153" s="1331">
        <v>21.386623821600089</v>
      </c>
      <c r="M153" s="1331">
        <v>18.762250576121925</v>
      </c>
      <c r="N153" s="498">
        <v>17.476955651764158</v>
      </c>
      <c r="O153" s="498">
        <v>17.302169013062834</v>
      </c>
      <c r="P153" s="498">
        <v>17.815799350796301</v>
      </c>
      <c r="Q153" s="498">
        <v>19.859577853394264</v>
      </c>
      <c r="R153" s="498">
        <v>22.093230069197812</v>
      </c>
      <c r="S153" s="498">
        <v>23.195899877296451</v>
      </c>
      <c r="T153" s="498">
        <v>23.437504927887268</v>
      </c>
      <c r="U153" s="498">
        <v>24.510521745570525</v>
      </c>
      <c r="V153" s="498">
        <v>22.740674254461062</v>
      </c>
      <c r="W153" s="498">
        <v>24.915413853110067</v>
      </c>
      <c r="X153" s="498">
        <v>26.078350511357186</v>
      </c>
      <c r="Y153" s="498">
        <v>29.087189156048314</v>
      </c>
      <c r="Z153" s="498">
        <v>25.542282857001407</v>
      </c>
      <c r="AA153" s="498">
        <v>26.721275683207406</v>
      </c>
      <c r="AB153" s="498">
        <v>27.850806005033473</v>
      </c>
      <c r="AC153" s="498">
        <v>32.453426516134797</v>
      </c>
      <c r="AD153" s="498">
        <v>34.21056545479604</v>
      </c>
      <c r="AE153" s="498">
        <v>38.467779683451823</v>
      </c>
      <c r="AF153" s="498">
        <v>28.148984358029626</v>
      </c>
    </row>
    <row r="154" spans="1:32">
      <c r="A154" s="21">
        <v>92</v>
      </c>
      <c r="B154" s="21" t="s">
        <v>19</v>
      </c>
      <c r="C154" s="1245">
        <v>33.244917075125194</v>
      </c>
      <c r="D154" s="1245">
        <v>33.587803020209968</v>
      </c>
      <c r="E154" s="1245">
        <v>28.470336754885889</v>
      </c>
      <c r="F154" s="1245">
        <v>29.909284775136101</v>
      </c>
      <c r="G154" s="1245">
        <v>28.536535256606381</v>
      </c>
      <c r="H154" s="1245">
        <v>29.8867713380148</v>
      </c>
      <c r="I154" s="1245">
        <v>29.04596139763418</v>
      </c>
      <c r="J154" s="1245">
        <v>26.102317825291856</v>
      </c>
      <c r="K154" s="1245">
        <v>22.285022521061578</v>
      </c>
      <c r="L154" s="1245">
        <v>23.690508018500132</v>
      </c>
      <c r="M154" s="1245">
        <v>31.226549802805938</v>
      </c>
      <c r="N154" s="403">
        <v>30.520348161074445</v>
      </c>
      <c r="O154" s="403">
        <v>32.434802149251816</v>
      </c>
      <c r="P154" s="403">
        <v>34.107901690675199</v>
      </c>
      <c r="Q154" s="403">
        <v>35.207622482989066</v>
      </c>
      <c r="R154" s="403">
        <v>37.757926507260379</v>
      </c>
      <c r="S154" s="403">
        <v>33.931376785100987</v>
      </c>
      <c r="T154" s="403">
        <v>37.551825193593423</v>
      </c>
      <c r="U154" s="403">
        <v>37.083430205852068</v>
      </c>
      <c r="V154" s="403">
        <v>37.281462467376706</v>
      </c>
      <c r="W154" s="403">
        <v>42.433662986332259</v>
      </c>
      <c r="X154" s="403">
        <v>41.63401543555581</v>
      </c>
      <c r="Y154" s="403">
        <v>41.07725750871969</v>
      </c>
      <c r="Z154" s="403">
        <v>42.974206968969938</v>
      </c>
      <c r="AA154" s="403">
        <v>45.080166853395617</v>
      </c>
      <c r="AB154" s="403">
        <v>45.194549565910179</v>
      </c>
      <c r="AC154" s="403">
        <v>46.859051335935156</v>
      </c>
      <c r="AD154" s="403">
        <v>46.935470414738404</v>
      </c>
      <c r="AE154" s="403">
        <v>48.082038105922159</v>
      </c>
      <c r="AF154" s="403">
        <v>37.754555579251672</v>
      </c>
    </row>
    <row r="155" spans="1:32">
      <c r="A155" s="21">
        <v>670</v>
      </c>
      <c r="B155" s="21" t="s">
        <v>141</v>
      </c>
      <c r="C155" s="1323">
        <v>27.339172101482944</v>
      </c>
      <c r="D155" s="1323">
        <v>30.150842085072348</v>
      </c>
      <c r="E155" s="1323">
        <v>39.203201080587554</v>
      </c>
      <c r="F155" s="1323">
        <v>47.792051671590464</v>
      </c>
      <c r="G155" s="1323">
        <v>45.348236927883725</v>
      </c>
      <c r="H155" s="1323">
        <v>36.642415036718781</v>
      </c>
      <c r="I155" s="1323">
        <v>35.78628542959688</v>
      </c>
      <c r="J155" s="1323">
        <v>37.132591494191821</v>
      </c>
      <c r="K155" s="1323">
        <v>35.202818798214153</v>
      </c>
      <c r="L155" s="1323">
        <v>38.077381540694802</v>
      </c>
      <c r="M155" s="1323">
        <v>31.602161635650127</v>
      </c>
      <c r="N155" s="489">
        <v>36.636759816449683</v>
      </c>
      <c r="O155" s="489">
        <v>36.19213399536217</v>
      </c>
      <c r="P155" s="489">
        <v>33.660870761035142</v>
      </c>
      <c r="Q155" s="489">
        <v>26.234905895119994</v>
      </c>
      <c r="R155" s="489">
        <v>27.8760783109405</v>
      </c>
      <c r="S155" s="489">
        <v>26.786210135921518</v>
      </c>
      <c r="T155" s="489">
        <v>26.182470772458977</v>
      </c>
      <c r="U155" s="489">
        <v>26.637981898618378</v>
      </c>
      <c r="V155" s="489">
        <v>23.289026960478012</v>
      </c>
      <c r="W155" s="489">
        <v>24.902181544006016</v>
      </c>
      <c r="X155" s="489">
        <v>24.074013330346332</v>
      </c>
      <c r="Y155" s="489">
        <v>23.776247369307921</v>
      </c>
      <c r="Z155" s="489">
        <v>24.11476819677673</v>
      </c>
      <c r="AA155" s="489">
        <v>25.919207133582102</v>
      </c>
      <c r="AB155" s="489">
        <v>27.794944651630853</v>
      </c>
      <c r="AC155" s="489">
        <v>31.824202350886992</v>
      </c>
      <c r="AD155" s="489">
        <v>37.740507926120848</v>
      </c>
      <c r="AE155" s="489">
        <v>37.095014228983906</v>
      </c>
      <c r="AF155" s="489">
        <v>42.749679943000046</v>
      </c>
    </row>
    <row r="156" spans="1:32">
      <c r="A156" s="21">
        <v>433</v>
      </c>
      <c r="B156" s="21" t="s">
        <v>87</v>
      </c>
      <c r="C156" s="1324">
        <v>38.356352862461925</v>
      </c>
      <c r="D156" s="1324">
        <v>51.505928882062634</v>
      </c>
      <c r="E156" s="1324">
        <v>43.433266051070937</v>
      </c>
      <c r="F156" s="1324">
        <v>51.78039558274984</v>
      </c>
      <c r="G156" s="1324">
        <v>49.189987156336393</v>
      </c>
      <c r="H156" s="1324">
        <v>39.230338011645458</v>
      </c>
      <c r="I156" s="1324">
        <v>32.650495576923106</v>
      </c>
      <c r="J156" s="1324">
        <v>28.956036493076699</v>
      </c>
      <c r="K156" s="1324">
        <v>29.594181324714768</v>
      </c>
      <c r="L156" s="1324">
        <v>30.90776225247366</v>
      </c>
      <c r="M156" s="1324">
        <v>32.185607869751834</v>
      </c>
      <c r="N156" s="490">
        <v>30.917652827376035</v>
      </c>
      <c r="O156" s="490">
        <v>30.741569339424927</v>
      </c>
      <c r="P156" s="490">
        <v>29.37255525931532</v>
      </c>
      <c r="Q156" s="490">
        <v>39.066950389416334</v>
      </c>
      <c r="R156" s="490">
        <v>37.327455233297719</v>
      </c>
      <c r="S156" s="490">
        <v>32.76459233158743</v>
      </c>
      <c r="T156" s="490">
        <v>33.55209807831848</v>
      </c>
      <c r="U156" s="490">
        <v>34.26227447268991</v>
      </c>
      <c r="V156" s="490">
        <v>35.054166902470989</v>
      </c>
      <c r="W156" s="490">
        <v>37.216790601538577</v>
      </c>
      <c r="X156" s="490">
        <v>37.764292897603461</v>
      </c>
      <c r="Y156" s="490">
        <v>38.965239715304207</v>
      </c>
      <c r="Z156" s="490">
        <v>38.742142022481246</v>
      </c>
      <c r="AA156" s="490">
        <v>39.371866090441785</v>
      </c>
      <c r="AB156" s="490">
        <v>42.517103095721978</v>
      </c>
      <c r="AC156" s="490">
        <v>43.049382361174615</v>
      </c>
      <c r="AD156" s="490">
        <v>47.705335162800431</v>
      </c>
      <c r="AE156" s="490">
        <v>52.95121826417023</v>
      </c>
      <c r="AF156" s="490">
        <v>43.967130679950813</v>
      </c>
    </row>
    <row r="157" spans="1:32">
      <c r="A157" s="21">
        <v>591</v>
      </c>
      <c r="B157" s="21" t="s">
        <v>127</v>
      </c>
      <c r="C157" s="1325">
        <v>79.137912729589132</v>
      </c>
      <c r="D157" s="1325">
        <v>72.607532414076971</v>
      </c>
      <c r="E157" s="1325">
        <v>75.965709564139644</v>
      </c>
      <c r="F157" s="1325">
        <v>63.933930909457146</v>
      </c>
      <c r="G157" s="1325">
        <v>62.653309615204563</v>
      </c>
      <c r="H157" s="1325">
        <v>63.764627769939416</v>
      </c>
      <c r="I157" s="1325">
        <v>55.907780979827095</v>
      </c>
      <c r="J157" s="1325">
        <v>50.068056451035169</v>
      </c>
      <c r="K157" s="1325">
        <v>57.683246073298434</v>
      </c>
      <c r="L157" s="1325">
        <v>62.492820218265365</v>
      </c>
      <c r="M157" s="1325">
        <v>66.742921051293777</v>
      </c>
      <c r="N157" s="492">
        <v>62.072622594818441</v>
      </c>
      <c r="O157" s="492">
        <v>59.616423554835229</v>
      </c>
      <c r="P157" s="492">
        <v>64.477113536406577</v>
      </c>
      <c r="Q157" s="492">
        <v>55.285842075302916</v>
      </c>
      <c r="R157" s="492">
        <v>61.883315428476983</v>
      </c>
      <c r="S157" s="492">
        <v>75.745940324774025</v>
      </c>
      <c r="T157" s="492">
        <v>76.583262651964944</v>
      </c>
      <c r="U157" s="492">
        <v>76.725080436072844</v>
      </c>
      <c r="V157" s="492">
        <v>85.283778505543367</v>
      </c>
      <c r="W157" s="492">
        <v>81.42786530957305</v>
      </c>
      <c r="X157" s="492">
        <v>103.04592679879778</v>
      </c>
      <c r="Y157" s="492">
        <v>85.179584869050856</v>
      </c>
      <c r="Z157" s="492">
        <v>83.99160148108335</v>
      </c>
      <c r="AA157" s="492">
        <v>95.836665835331132</v>
      </c>
      <c r="AB157" s="492">
        <v>102.73430341147973</v>
      </c>
      <c r="AC157" s="492">
        <v>106.86380685234724</v>
      </c>
      <c r="AD157" s="492">
        <v>127.9443558720349</v>
      </c>
      <c r="AE157" s="492">
        <v>137.22587250599588</v>
      </c>
      <c r="AF157" s="492">
        <v>127.59104084896751</v>
      </c>
    </row>
    <row r="158" spans="1:32">
      <c r="A158" s="21">
        <v>451</v>
      </c>
      <c r="B158" s="21" t="s">
        <v>95</v>
      </c>
      <c r="C158" s="1326">
        <v>38.217220923452125</v>
      </c>
      <c r="D158" s="1326">
        <v>39.738429599419788</v>
      </c>
      <c r="E158" s="1326">
        <v>25.933312041217832</v>
      </c>
      <c r="F158" s="1326">
        <v>22.035073133160459</v>
      </c>
      <c r="G158" s="1326">
        <v>12.405202563460884</v>
      </c>
      <c r="H158" s="1326">
        <v>16.609392167467742</v>
      </c>
      <c r="I158" s="1326">
        <v>15.010141987829615</v>
      </c>
      <c r="J158" s="1326">
        <v>23.188856918507241</v>
      </c>
      <c r="K158" s="1326">
        <v>14.391488176344474</v>
      </c>
      <c r="L158" s="1326">
        <v>17.670777098619883</v>
      </c>
      <c r="M158" s="1326">
        <v>23.768625552415994</v>
      </c>
      <c r="N158" s="493">
        <v>23.610153218125859</v>
      </c>
      <c r="O158" s="493">
        <v>23.37217215327038</v>
      </c>
      <c r="P158" s="493">
        <v>21.832026227584436</v>
      </c>
      <c r="Q158" s="493">
        <v>25.648629395145218</v>
      </c>
      <c r="R158" s="493">
        <v>26.483131875771875</v>
      </c>
      <c r="S158" s="493">
        <v>35.483825910651021</v>
      </c>
      <c r="T158" s="493">
        <v>15.153523898085325</v>
      </c>
      <c r="U158" s="493">
        <v>19.043694563590698</v>
      </c>
      <c r="V158" s="493">
        <v>28.041399894491704</v>
      </c>
      <c r="W158" s="493">
        <v>39.279337722258902</v>
      </c>
      <c r="X158" s="493">
        <v>34.261084290386762</v>
      </c>
      <c r="Y158" s="493">
        <v>35.872556700213345</v>
      </c>
      <c r="Z158" s="493">
        <v>40.811286646216111</v>
      </c>
      <c r="AA158" s="493">
        <v>33.453161943240353</v>
      </c>
      <c r="AB158" s="493">
        <v>36.4980151324635</v>
      </c>
      <c r="AC158" s="493">
        <v>32.532971509849254</v>
      </c>
      <c r="AD158" s="493">
        <v>27.791552411698774</v>
      </c>
      <c r="AE158" s="493">
        <v>29.392320406911992</v>
      </c>
      <c r="AF158" s="493">
        <v>28.531070669726017</v>
      </c>
    </row>
    <row r="159" spans="1:32">
      <c r="A159" s="21">
        <v>830</v>
      </c>
      <c r="B159" s="21" t="s">
        <v>173</v>
      </c>
      <c r="N159" s="494"/>
      <c r="O159" s="494"/>
      <c r="P159" s="494"/>
      <c r="Q159" s="494"/>
      <c r="R159" s="494"/>
      <c r="S159" s="494"/>
      <c r="T159" s="494"/>
      <c r="U159" s="494"/>
      <c r="V159" s="494"/>
      <c r="W159" s="494"/>
      <c r="X159" s="494">
        <v>176.39519124258814</v>
      </c>
      <c r="Y159" s="494">
        <v>175.86950336673729</v>
      </c>
      <c r="Z159" s="494">
        <v>184.88139079454621</v>
      </c>
      <c r="AA159" s="494">
        <v>199.11833409759123</v>
      </c>
      <c r="AB159" s="494">
        <v>200.45232894560363</v>
      </c>
      <c r="AC159" s="494">
        <v>204.54685066526687</v>
      </c>
      <c r="AD159" s="494">
        <v>187.4692762175026</v>
      </c>
      <c r="AE159" s="494">
        <v>202.58301247508567</v>
      </c>
      <c r="AF159" s="494"/>
    </row>
    <row r="160" spans="1:32">
      <c r="A160" s="21">
        <v>60</v>
      </c>
      <c r="B160" s="21" t="s">
        <v>14</v>
      </c>
      <c r="C160" s="1334">
        <v>97.145061728395063</v>
      </c>
      <c r="D160" s="1334">
        <v>89.456450556647013</v>
      </c>
      <c r="E160" s="1334">
        <v>80.593325092707047</v>
      </c>
      <c r="F160" s="1334">
        <v>93.358162631905657</v>
      </c>
      <c r="G160" s="1334">
        <v>83.077736647276566</v>
      </c>
      <c r="H160" s="1334">
        <v>77.872744539411215</v>
      </c>
      <c r="I160" s="1334">
        <v>77.033831628638865</v>
      </c>
      <c r="J160" s="1334">
        <v>84.440260184868194</v>
      </c>
      <c r="K160" s="1334">
        <v>84.356725146198826</v>
      </c>
      <c r="L160" s="1334">
        <v>83.347987590486042</v>
      </c>
      <c r="M160" s="1334">
        <v>83.144702960298403</v>
      </c>
      <c r="N160" s="501">
        <v>80.447666273776065</v>
      </c>
      <c r="O160" s="501">
        <v>68.97914226532734</v>
      </c>
      <c r="P160" s="501">
        <v>71.102718602672439</v>
      </c>
      <c r="Q160" s="501">
        <v>64.534819333365263</v>
      </c>
      <c r="R160" s="501">
        <v>74.555377207062605</v>
      </c>
      <c r="S160" s="501">
        <v>78.657616892911008</v>
      </c>
      <c r="T160" s="501">
        <v>70.876010781671155</v>
      </c>
      <c r="U160" s="501">
        <v>69.961290322580652</v>
      </c>
      <c r="V160" s="501">
        <v>66.92597284352604</v>
      </c>
      <c r="W160" s="501">
        <v>76.328321229272518</v>
      </c>
      <c r="X160" s="501">
        <v>70.565392811171563</v>
      </c>
      <c r="Y160" s="501">
        <v>73.001535940623626</v>
      </c>
      <c r="Z160" s="501">
        <v>70.608179033586794</v>
      </c>
      <c r="AA160" s="501">
        <v>60.474695541028154</v>
      </c>
      <c r="AB160" s="501">
        <v>63.850946358924141</v>
      </c>
      <c r="AC160" s="501">
        <v>65.834391417731723</v>
      </c>
      <c r="AD160" s="501">
        <v>66.545430928102874</v>
      </c>
      <c r="AE160" s="501">
        <v>70.927906040094072</v>
      </c>
      <c r="AF160" s="501">
        <v>68.733518201343017</v>
      </c>
    </row>
    <row r="161" spans="1:32">
      <c r="A161" s="21">
        <v>317</v>
      </c>
      <c r="B161" s="21" t="s">
        <v>52</v>
      </c>
      <c r="C161" s="1327"/>
      <c r="D161" s="1327"/>
      <c r="E161" s="1327"/>
      <c r="F161" s="1327"/>
      <c r="G161" s="1327"/>
      <c r="H161" s="1327"/>
      <c r="I161" s="1327"/>
      <c r="J161" s="1327">
        <v>36.051676208235683</v>
      </c>
      <c r="K161" s="1327">
        <v>34.021018075843692</v>
      </c>
      <c r="L161" s="1327">
        <v>32.136177582703496</v>
      </c>
      <c r="M161" s="1327">
        <v>35.539567535494058</v>
      </c>
      <c r="N161" s="495">
        <v>49.296215741964048</v>
      </c>
      <c r="O161" s="495">
        <v>74.27023773698464</v>
      </c>
      <c r="P161" s="495">
        <v>59.967260861885499</v>
      </c>
      <c r="Q161" s="495">
        <v>53.840435394904105</v>
      </c>
      <c r="R161" s="495">
        <v>55.516707408021219</v>
      </c>
      <c r="S161" s="495">
        <v>64.097504973320696</v>
      </c>
      <c r="T161" s="495">
        <v>65.978847225349128</v>
      </c>
      <c r="U161" s="495">
        <v>69.988739793645721</v>
      </c>
      <c r="V161" s="495">
        <v>65.617978408165641</v>
      </c>
      <c r="W161" s="495">
        <v>72.992347151689472</v>
      </c>
      <c r="X161" s="495">
        <v>80.772282222781485</v>
      </c>
      <c r="Y161" s="495">
        <v>78.372873079576038</v>
      </c>
      <c r="Z161" s="495">
        <v>77.731143065184412</v>
      </c>
      <c r="AA161" s="495">
        <v>77.297868761970051</v>
      </c>
      <c r="AB161" s="495">
        <v>80.894436058124199</v>
      </c>
      <c r="AC161" s="495">
        <v>88.380530012059111</v>
      </c>
      <c r="AD161" s="495">
        <v>87.766257597640305</v>
      </c>
      <c r="AE161" s="495">
        <v>85.281870081153173</v>
      </c>
      <c r="AF161" s="495">
        <v>103.74209317371175</v>
      </c>
    </row>
    <row r="162" spans="1:32">
      <c r="A162" s="21">
        <v>56</v>
      </c>
      <c r="B162" s="21" t="s">
        <v>11</v>
      </c>
      <c r="C162" s="1335">
        <v>94.217427127866301</v>
      </c>
      <c r="D162" s="1335">
        <v>85.430346907993965</v>
      </c>
      <c r="E162" s="1335">
        <v>83.837609794943788</v>
      </c>
      <c r="F162" s="1335">
        <v>70.991949371943619</v>
      </c>
      <c r="G162" s="1335">
        <v>63.295373397977968</v>
      </c>
      <c r="H162" s="1335">
        <v>70.974055534831351</v>
      </c>
      <c r="I162" s="1335">
        <v>81.850393700787407</v>
      </c>
      <c r="J162" s="1335">
        <v>86.012463785832153</v>
      </c>
      <c r="K162" s="1335">
        <v>95.117194901248766</v>
      </c>
      <c r="L162" s="1335">
        <v>102.14723545917155</v>
      </c>
      <c r="M162" s="1335">
        <v>84.165719674477373</v>
      </c>
      <c r="N162" s="502">
        <v>83.389270225180326</v>
      </c>
      <c r="O162" s="502">
        <v>76.54871188707348</v>
      </c>
      <c r="P162" s="502">
        <v>73.593130193905822</v>
      </c>
      <c r="Q162" s="502">
        <v>71.372444886714092</v>
      </c>
      <c r="R162" s="502">
        <v>69.31032547229583</v>
      </c>
      <c r="S162" s="502">
        <v>68.506408579649488</v>
      </c>
      <c r="T162" s="502">
        <v>68.54483531164999</v>
      </c>
      <c r="U162" s="502">
        <v>64.533919964271931</v>
      </c>
      <c r="V162" s="502">
        <v>64.281168272033469</v>
      </c>
      <c r="W162" s="502">
        <v>63.029229629918483</v>
      </c>
      <c r="X162" s="502">
        <v>58.663202212363139</v>
      </c>
      <c r="Y162" s="502">
        <v>56.939548518263628</v>
      </c>
      <c r="Z162" s="502">
        <v>67.691327426524452</v>
      </c>
      <c r="AA162" s="502">
        <v>62.597199180700116</v>
      </c>
      <c r="AB162" s="502">
        <v>69.325132189489594</v>
      </c>
      <c r="AC162" s="502">
        <v>77.779175499269712</v>
      </c>
      <c r="AD162" s="502">
        <v>77.757400122142542</v>
      </c>
      <c r="AE162" s="502">
        <v>89.660917535359104</v>
      </c>
      <c r="AF162" s="502">
        <v>69.325653064341168</v>
      </c>
    </row>
    <row r="163" spans="1:32">
      <c r="A163" s="21">
        <v>349</v>
      </c>
      <c r="B163" s="21" t="s">
        <v>61</v>
      </c>
      <c r="C163" s="1328"/>
      <c r="D163" s="1328"/>
      <c r="E163" s="1328"/>
      <c r="F163" s="1328"/>
      <c r="G163" s="1328"/>
      <c r="H163" s="1328"/>
      <c r="I163" s="1328"/>
      <c r="J163" s="1328"/>
      <c r="K163" s="1328"/>
      <c r="L163" s="1328"/>
      <c r="M163" s="1328">
        <v>78.529896315460306</v>
      </c>
      <c r="N163" s="496">
        <v>74.249019700670729</v>
      </c>
      <c r="O163" s="496">
        <v>56.186361773975221</v>
      </c>
      <c r="P163" s="496">
        <v>57.664475505537283</v>
      </c>
      <c r="Q163" s="496">
        <v>56.30775647449606</v>
      </c>
      <c r="R163" s="496">
        <v>51.844101246811917</v>
      </c>
      <c r="S163" s="496">
        <v>51.21485731189621</v>
      </c>
      <c r="T163" s="496">
        <v>52.545663264223542</v>
      </c>
      <c r="U163" s="496">
        <v>52.940305334941371</v>
      </c>
      <c r="V163" s="496">
        <v>51.769890892853432</v>
      </c>
      <c r="W163" s="496">
        <v>57.432049272302507</v>
      </c>
      <c r="X163" s="496">
        <v>56.306670940108297</v>
      </c>
      <c r="Y163" s="496">
        <v>54.064041706906551</v>
      </c>
      <c r="Z163" s="496">
        <v>54.201394567168713</v>
      </c>
      <c r="AA163" s="496">
        <v>59.299026269288802</v>
      </c>
      <c r="AB163" s="496">
        <v>62.526630513593318</v>
      </c>
      <c r="AC163" s="496">
        <v>67.046174424658304</v>
      </c>
      <c r="AD163" s="496">
        <v>71.267403003260029</v>
      </c>
      <c r="AE163" s="496">
        <v>70.708604757642007</v>
      </c>
      <c r="AF163" s="496">
        <v>57.394272351327892</v>
      </c>
    </row>
    <row r="164" spans="1:32">
      <c r="A164" s="21">
        <v>331</v>
      </c>
      <c r="B164" s="21" t="s">
        <v>54</v>
      </c>
    </row>
    <row r="165" spans="1:32">
      <c r="A165" s="21">
        <v>940</v>
      </c>
      <c r="B165" s="21" t="s">
        <v>181</v>
      </c>
      <c r="C165" s="1329"/>
      <c r="D165" s="1329">
        <v>79.263803680981582</v>
      </c>
      <c r="E165" s="1329">
        <v>62.732240437158474</v>
      </c>
      <c r="F165" s="1329">
        <v>72.173913043478265</v>
      </c>
      <c r="G165" s="1329">
        <v>56.055900621118013</v>
      </c>
      <c r="H165" s="1329">
        <v>62.383720930232556</v>
      </c>
      <c r="I165" s="1329">
        <v>74.850136239782017</v>
      </c>
      <c r="J165" s="1329">
        <v>56.527196652719667</v>
      </c>
      <c r="K165" s="1329">
        <v>59.489953632148371</v>
      </c>
      <c r="L165" s="1329">
        <v>67.257217847769027</v>
      </c>
      <c r="M165" s="1329">
        <v>64.69281045751633</v>
      </c>
      <c r="N165" s="497">
        <v>76.405657123145915</v>
      </c>
      <c r="O165" s="497">
        <v>62.266702731944825</v>
      </c>
      <c r="P165" s="497">
        <v>68.829681655088166</v>
      </c>
      <c r="Q165" s="497">
        <v>68.771654572792045</v>
      </c>
      <c r="R165" s="497">
        <v>58.531207598371779</v>
      </c>
      <c r="S165" s="497">
        <v>55.809684461202622</v>
      </c>
      <c r="T165" s="497">
        <v>65.588137761144537</v>
      </c>
      <c r="U165" s="497">
        <v>52.6707800793301</v>
      </c>
      <c r="V165" s="497">
        <v>42.104586369481353</v>
      </c>
      <c r="W165" s="497">
        <v>38.632463192123566</v>
      </c>
      <c r="X165" s="497">
        <v>35.890587423319694</v>
      </c>
      <c r="Y165" s="497">
        <v>30.479579542782385</v>
      </c>
      <c r="Z165" s="497">
        <v>31.675675675675674</v>
      </c>
      <c r="AA165" s="497">
        <v>42.367146317139195</v>
      </c>
      <c r="AB165" s="497">
        <v>54.605833092694198</v>
      </c>
      <c r="AC165" s="497">
        <v>57.235346588783699</v>
      </c>
      <c r="AD165" s="497">
        <v>56.38105366044659</v>
      </c>
      <c r="AE165" s="497">
        <v>57.756751666769759</v>
      </c>
      <c r="AF165" s="497">
        <v>46.935499325845171</v>
      </c>
    </row>
    <row r="166" spans="1:32">
      <c r="A166" s="21">
        <v>520</v>
      </c>
      <c r="B166" s="21" t="s">
        <v>110</v>
      </c>
      <c r="C166" s="1330">
        <v>88.487220764160156</v>
      </c>
      <c r="D166" s="1330">
        <v>68.371879577636719</v>
      </c>
      <c r="E166" s="1330">
        <v>68.050132751464844</v>
      </c>
      <c r="F166" s="1330">
        <v>72.684486389160156</v>
      </c>
      <c r="G166" s="1330">
        <v>61.079563140869141</v>
      </c>
      <c r="H166" s="1330">
        <v>19.306888580322266</v>
      </c>
      <c r="I166" s="1330">
        <v>29.394817352294922</v>
      </c>
      <c r="J166" s="1330">
        <v>31.214839935302734</v>
      </c>
      <c r="K166" s="1330">
        <v>22.184816360473633</v>
      </c>
      <c r="L166" s="1330">
        <v>44.896869659423828</v>
      </c>
      <c r="M166" s="1330">
        <v>37.741405487060547</v>
      </c>
    </row>
    <row r="167" spans="1:32">
      <c r="A167" s="21">
        <v>230</v>
      </c>
      <c r="B167" s="21" t="s">
        <v>44</v>
      </c>
      <c r="C167" s="1332">
        <v>16.843590851650045</v>
      </c>
      <c r="D167" s="1332">
        <v>18.6254250969296</v>
      </c>
      <c r="E167" s="1332">
        <v>19.068784359765857</v>
      </c>
      <c r="F167" s="1332">
        <v>20.182491974931281</v>
      </c>
      <c r="G167" s="1332">
        <v>19.738882548972708</v>
      </c>
      <c r="H167" s="1332">
        <v>19.508233318572046</v>
      </c>
      <c r="I167" s="1332">
        <v>16.726749559201075</v>
      </c>
      <c r="J167" s="1332">
        <v>18.136184673276482</v>
      </c>
      <c r="K167" s="1332">
        <v>18.931633785971272</v>
      </c>
      <c r="L167" s="1332">
        <v>20.268905649107857</v>
      </c>
      <c r="M167" s="1332">
        <v>19.395145111132301</v>
      </c>
      <c r="N167" s="499">
        <v>19.231180458659665</v>
      </c>
      <c r="O167" s="499">
        <v>19.301863555153382</v>
      </c>
      <c r="P167" s="499">
        <v>18.766133403181147</v>
      </c>
      <c r="Q167" s="499">
        <v>20.806830865691186</v>
      </c>
      <c r="R167" s="499">
        <v>22.381905390145459</v>
      </c>
      <c r="S167" s="499">
        <v>23.089974781314957</v>
      </c>
      <c r="T167" s="499">
        <v>25.439106526618261</v>
      </c>
      <c r="U167" s="499">
        <v>26.887095847397465</v>
      </c>
      <c r="V167" s="499">
        <v>28.522162561083697</v>
      </c>
      <c r="W167" s="499">
        <v>32.162129142913351</v>
      </c>
      <c r="X167" s="499">
        <v>31.047426242658055</v>
      </c>
      <c r="Y167" s="499">
        <v>29.450114233837898</v>
      </c>
      <c r="Z167" s="499">
        <v>28.697493642463112</v>
      </c>
      <c r="AA167" s="499">
        <v>29.939051795273009</v>
      </c>
      <c r="AB167" s="499">
        <v>30.962310407662041</v>
      </c>
      <c r="AC167" s="499">
        <v>32.708547533029083</v>
      </c>
      <c r="AD167" s="499">
        <v>33.638159832055706</v>
      </c>
      <c r="AE167" s="499">
        <v>32.212618810071085</v>
      </c>
      <c r="AF167" s="499">
        <v>25.593468493108979</v>
      </c>
    </row>
    <row r="168" spans="1:32">
      <c r="A168" s="21">
        <v>780</v>
      </c>
      <c r="B168" s="21" t="s">
        <v>165</v>
      </c>
      <c r="C168" s="1333">
        <v>54.798803493318502</v>
      </c>
      <c r="D168" s="1333">
        <v>46.536086112581614</v>
      </c>
      <c r="E168" s="1333">
        <v>46.257482012938596</v>
      </c>
      <c r="F168" s="1333">
        <v>41.431402702280408</v>
      </c>
      <c r="G168" s="1333">
        <v>34.743668127951295</v>
      </c>
      <c r="H168" s="1333">
        <v>37.965204003079286</v>
      </c>
      <c r="I168" s="1333">
        <v>35.32935132665456</v>
      </c>
      <c r="J168" s="1333">
        <v>35.696385272693078</v>
      </c>
      <c r="K168" s="1333">
        <v>36.836770548963429</v>
      </c>
      <c r="L168" s="1333">
        <v>36.756771778269169</v>
      </c>
      <c r="M168" s="1333">
        <v>38.063110658081193</v>
      </c>
      <c r="N168" s="500">
        <v>38.854825497858172</v>
      </c>
      <c r="O168" s="500">
        <v>41.033382477079968</v>
      </c>
      <c r="P168" s="500">
        <v>43.346511464974533</v>
      </c>
      <c r="Q168" s="500">
        <v>45.617906901244034</v>
      </c>
      <c r="R168" s="500">
        <v>46.037419957710121</v>
      </c>
      <c r="S168" s="500">
        <v>43.900625937343776</v>
      </c>
      <c r="T168" s="500">
        <v>43.59943522941839</v>
      </c>
      <c r="U168" s="500">
        <v>42.251170448316579</v>
      </c>
      <c r="V168" s="500">
        <v>43.267773634584849</v>
      </c>
      <c r="W168" s="500">
        <v>49.620752595797605</v>
      </c>
      <c r="X168" s="500">
        <v>43.567425489543993</v>
      </c>
      <c r="Y168" s="500">
        <v>41.421801585171977</v>
      </c>
      <c r="Z168" s="500">
        <v>40.68274449812013</v>
      </c>
      <c r="AA168" s="500">
        <v>44.152042168677582</v>
      </c>
      <c r="AB168" s="500">
        <v>41.267099970564033</v>
      </c>
      <c r="AC168" s="500">
        <v>41.132651394503654</v>
      </c>
      <c r="AD168" s="500">
        <v>39.491511973102995</v>
      </c>
      <c r="AE168" s="500">
        <v>38.527547774346964</v>
      </c>
      <c r="AF168" s="500">
        <v>27.870700723406944</v>
      </c>
    </row>
    <row r="169" spans="1:32">
      <c r="A169" s="21">
        <v>403</v>
      </c>
      <c r="B169" s="21" t="s">
        <v>82</v>
      </c>
    </row>
    <row r="170" spans="1:32">
      <c r="A170" s="21">
        <v>625</v>
      </c>
      <c r="B170" s="21" t="s">
        <v>132</v>
      </c>
      <c r="C170" s="1337">
        <v>23.146440505981445</v>
      </c>
      <c r="D170" s="1337">
        <v>23.652639389038086</v>
      </c>
      <c r="E170" s="1337">
        <v>24.418004989624023</v>
      </c>
      <c r="F170" s="1337">
        <v>21.239816665649414</v>
      </c>
      <c r="G170" s="1337">
        <v>16.468240737915039</v>
      </c>
      <c r="H170" s="1337">
        <v>11.881401062011719</v>
      </c>
      <c r="I170" s="1337">
        <v>8.2221918106079102</v>
      </c>
      <c r="J170" s="1337">
        <v>11.134248733520508</v>
      </c>
      <c r="K170" s="1337">
        <v>7.692296028137207</v>
      </c>
      <c r="L170" s="1337">
        <v>9.343841552734375</v>
      </c>
      <c r="M170" s="1337">
        <v>7.0660400390625</v>
      </c>
      <c r="N170" s="504">
        <v>11.736303329467773</v>
      </c>
      <c r="O170" s="504">
        <v>14.424202919006348</v>
      </c>
      <c r="P170" s="504">
        <v>7.2356672286987305</v>
      </c>
      <c r="Q170" s="504">
        <v>9.9196529388427734</v>
      </c>
      <c r="R170" s="504">
        <v>9.8030004501342773</v>
      </c>
      <c r="S170" s="504">
        <v>15.751278877258301</v>
      </c>
      <c r="T170" s="504">
        <v>12.514983203457577</v>
      </c>
      <c r="U170" s="504">
        <v>15.173042569326494</v>
      </c>
      <c r="V170" s="504">
        <v>16.93495822012494</v>
      </c>
      <c r="W170" s="504">
        <v>17.701562398229164</v>
      </c>
      <c r="X170" s="504">
        <v>20.655083389037284</v>
      </c>
      <c r="Y170" s="504">
        <v>19.523498600139753</v>
      </c>
      <c r="Z170" s="504">
        <v>18.935393378535327</v>
      </c>
      <c r="AA170" s="504">
        <v>21.445359328557128</v>
      </c>
      <c r="AB170" s="504">
        <v>28.12033670403391</v>
      </c>
      <c r="AC170" s="504">
        <v>27.456777570083919</v>
      </c>
      <c r="AD170" s="504">
        <v>23.729268081753315</v>
      </c>
      <c r="AE170" s="504">
        <v>21.602954698887618</v>
      </c>
      <c r="AF170" s="504">
        <v>20.832530483358418</v>
      </c>
    </row>
    <row r="171" spans="1:32">
      <c r="A171" s="21">
        <v>115</v>
      </c>
      <c r="B171" s="21" t="s">
        <v>26</v>
      </c>
      <c r="C171" s="1338">
        <v>74.223178562018703</v>
      </c>
      <c r="D171" s="1338">
        <v>72.661830043304647</v>
      </c>
      <c r="E171" s="1338">
        <v>67.25674069824619</v>
      </c>
      <c r="F171" s="1338">
        <v>58.572887194431864</v>
      </c>
      <c r="G171" s="1338">
        <v>48.782043771335992</v>
      </c>
      <c r="H171" s="1338">
        <v>39.90265888920699</v>
      </c>
      <c r="I171" s="1338">
        <v>32.710434203142533</v>
      </c>
      <c r="J171" s="1338">
        <v>25.621268561514515</v>
      </c>
      <c r="K171" s="1338">
        <v>24.386252045826513</v>
      </c>
      <c r="L171" s="1338">
        <v>27.822018082282678</v>
      </c>
      <c r="M171" s="1338">
        <v>44.445016739634305</v>
      </c>
      <c r="N171" s="505">
        <v>44.952041043943787</v>
      </c>
      <c r="O171" s="505">
        <v>33.771626297577853</v>
      </c>
      <c r="P171" s="505">
        <v>22.242952191508333</v>
      </c>
      <c r="Q171" s="505">
        <v>26.399255570893317</v>
      </c>
      <c r="R171" s="505">
        <v>27.207359389509268</v>
      </c>
      <c r="S171" s="505">
        <v>30.760360363367599</v>
      </c>
      <c r="T171" s="505">
        <v>34.793644956744757</v>
      </c>
      <c r="U171" s="505">
        <v>52.485604232804228</v>
      </c>
      <c r="V171" s="505">
        <v>33.634138348833211</v>
      </c>
      <c r="W171" s="505">
        <v>33.199013743356979</v>
      </c>
      <c r="X171" s="505">
        <v>54.427047984303044</v>
      </c>
      <c r="Y171" s="505">
        <v>39.588681027701341</v>
      </c>
      <c r="Z171" s="505">
        <v>45.554617564638193</v>
      </c>
      <c r="AA171" s="505">
        <v>47.833210172814958</v>
      </c>
      <c r="AB171" s="505">
        <v>45.569321909736985</v>
      </c>
      <c r="AC171" s="505"/>
      <c r="AD171" s="505"/>
      <c r="AE171" s="505"/>
      <c r="AF171" s="505"/>
    </row>
    <row r="172" spans="1:32">
      <c r="A172" s="21">
        <v>57</v>
      </c>
      <c r="B172" s="21" t="s">
        <v>12</v>
      </c>
      <c r="C172" s="1336">
        <v>105.14033040594487</v>
      </c>
      <c r="D172" s="1336">
        <v>88.522479698950292</v>
      </c>
      <c r="E172" s="1336">
        <v>88.730440813142039</v>
      </c>
      <c r="F172" s="1336">
        <v>85.645085066162579</v>
      </c>
      <c r="G172" s="1336">
        <v>82.891398555242006</v>
      </c>
      <c r="H172" s="1336">
        <v>78.719076054859244</v>
      </c>
      <c r="I172" s="1336">
        <v>79.993057852831669</v>
      </c>
      <c r="J172" s="1336">
        <v>79.960449866942156</v>
      </c>
      <c r="K172" s="1336">
        <v>82.810840722463254</v>
      </c>
      <c r="L172" s="1336">
        <v>82.690620430332146</v>
      </c>
      <c r="M172" s="1336">
        <v>76.821885043725246</v>
      </c>
      <c r="N172" s="503">
        <v>79.858120854286739</v>
      </c>
      <c r="O172" s="503">
        <v>68.353426873230788</v>
      </c>
      <c r="P172" s="503">
        <v>67.848112248630812</v>
      </c>
      <c r="Q172" s="503">
        <v>70.305575412400913</v>
      </c>
      <c r="R172" s="503">
        <v>65.48714093733355</v>
      </c>
      <c r="S172" s="503">
        <v>66.175506009230617</v>
      </c>
      <c r="T172" s="503">
        <v>78.120537350402515</v>
      </c>
      <c r="U172" s="503">
        <v>78.338392232180269</v>
      </c>
      <c r="V172" s="503">
        <v>72.309271907504126</v>
      </c>
      <c r="W172" s="503">
        <v>59.133218257696598</v>
      </c>
      <c r="X172" s="503">
        <v>59.726137736608941</v>
      </c>
      <c r="Y172" s="503">
        <v>57.868187959765805</v>
      </c>
      <c r="Z172" s="503">
        <v>60.497055990681915</v>
      </c>
      <c r="AA172" s="503">
        <v>64.557849505745693</v>
      </c>
      <c r="AB172" s="503">
        <v>65.19121442589794</v>
      </c>
      <c r="AC172" s="503">
        <v>65.296156527488208</v>
      </c>
      <c r="AD172" s="503">
        <v>72.496416110249356</v>
      </c>
      <c r="AE172" s="503">
        <v>75.465571578645779</v>
      </c>
      <c r="AF172" s="503">
        <v>71.694275289540926</v>
      </c>
    </row>
    <row r="173" spans="1:32">
      <c r="A173" s="21">
        <v>572</v>
      </c>
      <c r="B173" s="21" t="s">
        <v>123</v>
      </c>
      <c r="C173" s="1339">
        <v>114.04609740414216</v>
      </c>
      <c r="D173" s="1339">
        <v>105.82950688760231</v>
      </c>
      <c r="E173" s="1339">
        <v>101.64468057671712</v>
      </c>
      <c r="F173" s="1339">
        <v>100.43639370621528</v>
      </c>
      <c r="G173" s="1339">
        <v>92.748453779368717</v>
      </c>
      <c r="H173" s="1339">
        <v>92.843619403110054</v>
      </c>
      <c r="I173" s="1339">
        <v>79.77199712296219</v>
      </c>
      <c r="J173" s="1339">
        <v>82.107121354938101</v>
      </c>
      <c r="K173" s="1339">
        <v>80.270768047203063</v>
      </c>
      <c r="L173" s="1339">
        <v>86.891338242124064</v>
      </c>
      <c r="M173" s="1339">
        <v>68.880530973353373</v>
      </c>
      <c r="N173" s="506">
        <v>70.636508652221437</v>
      </c>
      <c r="O173" s="506">
        <v>76.092870626367088</v>
      </c>
      <c r="P173" s="506">
        <v>76.376861437049484</v>
      </c>
      <c r="Q173" s="506">
        <v>72.865103944027638</v>
      </c>
      <c r="R173" s="506">
        <v>73.747358488474703</v>
      </c>
      <c r="S173" s="506">
        <v>80.632390158371038</v>
      </c>
      <c r="T173" s="506">
        <v>76.151796348954221</v>
      </c>
      <c r="U173" s="506">
        <v>85.579548650293319</v>
      </c>
      <c r="V173" s="506">
        <v>81.961409304833879</v>
      </c>
      <c r="W173" s="506">
        <v>90.072988957680579</v>
      </c>
      <c r="X173" s="506">
        <v>102.96272352695691</v>
      </c>
      <c r="Y173" s="506">
        <v>105.339278299781</v>
      </c>
      <c r="Z173" s="506">
        <v>105.19647154014716</v>
      </c>
      <c r="AA173" s="506">
        <v>92.797145668647943</v>
      </c>
      <c r="AB173" s="506">
        <v>93.367059221495126</v>
      </c>
      <c r="AC173" s="506">
        <v>87.243985722139158</v>
      </c>
      <c r="AD173" s="506">
        <v>79.679514941533142</v>
      </c>
      <c r="AE173" s="506">
        <v>78.671461000170666</v>
      </c>
      <c r="AF173" s="506">
        <v>76.474627372627367</v>
      </c>
    </row>
    <row r="174" spans="1:32">
      <c r="A174" s="21">
        <v>380</v>
      </c>
      <c r="B174" s="21" t="s">
        <v>77</v>
      </c>
      <c r="C174" s="1340">
        <v>30.962796167747118</v>
      </c>
      <c r="D174" s="1340">
        <v>30.033406731883083</v>
      </c>
      <c r="E174" s="1340">
        <v>32.886115397824497</v>
      </c>
      <c r="F174" s="1340">
        <v>33.603934954001737</v>
      </c>
      <c r="G174" s="1340">
        <v>32.800373739107222</v>
      </c>
      <c r="H174" s="1340">
        <v>33.652836019505024</v>
      </c>
      <c r="I174" s="1340">
        <v>29.646004889506926</v>
      </c>
      <c r="J174" s="1340">
        <v>30.475521220889856</v>
      </c>
      <c r="K174" s="1340">
        <v>30.344860692247899</v>
      </c>
      <c r="L174" s="1340">
        <v>31.24574550835721</v>
      </c>
      <c r="M174" s="1340">
        <v>29.773239339277076</v>
      </c>
      <c r="N174" s="507">
        <v>26.461444740132738</v>
      </c>
      <c r="O174" s="507">
        <v>26.30169282575342</v>
      </c>
      <c r="P174" s="507">
        <v>29.027160500107783</v>
      </c>
      <c r="Q174" s="507">
        <v>31.630215395320356</v>
      </c>
      <c r="R174" s="507">
        <v>32.917231946727824</v>
      </c>
      <c r="S174" s="507">
        <v>31.946987860824255</v>
      </c>
      <c r="T174" s="507">
        <v>34.579987045962</v>
      </c>
      <c r="U174" s="507">
        <v>36.362581381751525</v>
      </c>
      <c r="V174" s="507">
        <v>36.597657804520253</v>
      </c>
      <c r="W174" s="507">
        <v>40.168584831161361</v>
      </c>
      <c r="X174" s="507">
        <v>39.594723088171236</v>
      </c>
      <c r="Y174" s="507">
        <v>37.621693955304195</v>
      </c>
      <c r="Z174" s="507">
        <v>36.694019766062432</v>
      </c>
      <c r="AA174" s="507">
        <v>37.775431921673288</v>
      </c>
      <c r="AB174" s="507">
        <v>40.607248928007223</v>
      </c>
      <c r="AC174" s="507">
        <v>43.010684399282731</v>
      </c>
      <c r="AD174" s="507">
        <v>44.409245244269222</v>
      </c>
      <c r="AE174" s="507">
        <v>46.401531711983132</v>
      </c>
      <c r="AF174" s="507">
        <v>41.634464842686711</v>
      </c>
    </row>
    <row r="175" spans="1:32">
      <c r="A175" s="21">
        <v>225</v>
      </c>
      <c r="B175" s="21" t="s">
        <v>43</v>
      </c>
      <c r="C175" s="1341">
        <v>36.967763102035022</v>
      </c>
      <c r="D175" s="1341">
        <v>35.57139776383579</v>
      </c>
      <c r="E175" s="1341">
        <v>32.764623114989931</v>
      </c>
      <c r="F175" s="1341">
        <v>33.318383860034245</v>
      </c>
      <c r="G175" s="1341">
        <v>35.245211429948462</v>
      </c>
      <c r="H175" s="1341">
        <v>36.10654501127047</v>
      </c>
      <c r="I175" s="1341">
        <v>33.767596310701116</v>
      </c>
      <c r="J175" s="1341">
        <v>33.339215625349553</v>
      </c>
      <c r="K175" s="1341">
        <v>34.409260065351013</v>
      </c>
      <c r="L175" s="1341">
        <v>36.741130862972149</v>
      </c>
      <c r="M175" s="1341">
        <v>34.665937611453863</v>
      </c>
      <c r="N175" s="508">
        <v>32.920008562110084</v>
      </c>
      <c r="O175" s="508">
        <v>31.784093568942033</v>
      </c>
      <c r="P175" s="508">
        <v>30.637418138177175</v>
      </c>
      <c r="Q175" s="508">
        <v>30.769494478650472</v>
      </c>
      <c r="R175" s="508">
        <v>30.824246673665957</v>
      </c>
      <c r="S175" s="508">
        <v>31.689280576576344</v>
      </c>
      <c r="T175" s="508">
        <v>34.854233419065643</v>
      </c>
      <c r="U175" s="508">
        <v>35.761688244192314</v>
      </c>
      <c r="V175" s="508">
        <v>36.507178333659759</v>
      </c>
      <c r="W175" s="508">
        <v>40.662332759106093</v>
      </c>
      <c r="X175" s="508">
        <v>40.994202232137731</v>
      </c>
      <c r="Y175" s="508">
        <v>37.806209613400867</v>
      </c>
      <c r="Z175" s="508">
        <v>37.475093059313053</v>
      </c>
      <c r="AA175" s="508">
        <v>39.439447230660967</v>
      </c>
      <c r="AB175" s="508">
        <v>42.275621523274239</v>
      </c>
      <c r="AC175" s="508">
        <v>44.234206263411302</v>
      </c>
      <c r="AD175" s="508">
        <v>45.965779083449959</v>
      </c>
      <c r="AE175" s="508">
        <v>45.108767792392754</v>
      </c>
      <c r="AF175" s="508">
        <v>40.738226641658038</v>
      </c>
    </row>
    <row r="176" spans="1:32">
      <c r="A176" s="21">
        <v>652</v>
      </c>
      <c r="B176" s="21" t="s">
        <v>137</v>
      </c>
      <c r="C176" s="1342">
        <v>36.130115426505768</v>
      </c>
      <c r="D176" s="1342">
        <v>33.616385455689979</v>
      </c>
      <c r="E176" s="1342">
        <v>25.41863955228818</v>
      </c>
      <c r="F176" s="1342">
        <v>27.195792904994363</v>
      </c>
      <c r="G176" s="1342">
        <v>24.471383274587406</v>
      </c>
      <c r="H176" s="1342">
        <v>25.413479559945312</v>
      </c>
      <c r="I176" s="1342">
        <v>22.68270443526978</v>
      </c>
      <c r="J176" s="1342">
        <v>29.503058591876986</v>
      </c>
      <c r="K176" s="1342">
        <v>26.507573166649912</v>
      </c>
      <c r="L176" s="1342">
        <v>29.633185186647658</v>
      </c>
      <c r="M176" s="1342">
        <v>27.950866104171013</v>
      </c>
      <c r="N176" s="509">
        <v>32.073988008884207</v>
      </c>
      <c r="O176" s="509">
        <v>37.631515216747843</v>
      </c>
      <c r="P176" s="509">
        <v>40.903916568984059</v>
      </c>
      <c r="Q176" s="509">
        <v>45.392520465282622</v>
      </c>
      <c r="R176" s="509">
        <v>37.93686238451771</v>
      </c>
      <c r="S176" s="509">
        <v>38.088200597229239</v>
      </c>
      <c r="T176" s="509">
        <v>33.802235768278138</v>
      </c>
      <c r="U176" s="509">
        <v>30.895673853844013</v>
      </c>
      <c r="V176" s="509">
        <v>31.991644406244962</v>
      </c>
      <c r="W176" s="509">
        <v>28.581951000760402</v>
      </c>
      <c r="X176" s="509">
        <v>29.23513222094758</v>
      </c>
      <c r="Y176" s="509">
        <v>30.541870992966935</v>
      </c>
      <c r="Z176" s="509">
        <v>28.594254129209506</v>
      </c>
      <c r="AA176" s="509">
        <v>37.777849908600572</v>
      </c>
      <c r="AB176" s="509">
        <v>39.500776766237635</v>
      </c>
      <c r="AC176" s="509">
        <v>36.364833413021351</v>
      </c>
      <c r="AD176" s="509">
        <v>37.706045224391346</v>
      </c>
      <c r="AE176" s="509">
        <v>31.974749728234684</v>
      </c>
      <c r="AF176" s="509">
        <v>35.717324379264944</v>
      </c>
    </row>
    <row r="177" spans="1:32">
      <c r="A177" s="21">
        <v>702</v>
      </c>
      <c r="B177" s="21" t="s">
        <v>150</v>
      </c>
      <c r="C177" s="1343"/>
      <c r="D177" s="1343"/>
      <c r="E177" s="1343"/>
      <c r="F177" s="1343"/>
      <c r="G177" s="1343"/>
      <c r="H177" s="1343"/>
      <c r="I177" s="1343"/>
      <c r="J177" s="1343"/>
      <c r="K177" s="1343">
        <v>46.286242478853588</v>
      </c>
      <c r="L177" s="1343">
        <v>48.742535194948147</v>
      </c>
      <c r="M177" s="1343">
        <v>35.179972565157755</v>
      </c>
      <c r="N177" s="510">
        <v>32.223986276655523</v>
      </c>
      <c r="O177" s="510">
        <v>12.549452484491624</v>
      </c>
      <c r="P177" s="510">
        <v>41.64101235867885</v>
      </c>
      <c r="Q177" s="510">
        <v>54.618078079597986</v>
      </c>
      <c r="R177" s="510">
        <v>71.935312958695491</v>
      </c>
      <c r="S177" s="510">
        <v>80.046513376972314</v>
      </c>
      <c r="T177" s="510">
        <v>93.896671265237202</v>
      </c>
      <c r="U177" s="510">
        <v>58.009471388802815</v>
      </c>
      <c r="V177" s="510">
        <v>67.505433544838695</v>
      </c>
      <c r="W177" s="510">
        <v>100.91283085438303</v>
      </c>
      <c r="X177" s="510">
        <v>78.362132999273442</v>
      </c>
      <c r="Y177" s="510">
        <v>76.092210415871079</v>
      </c>
      <c r="Z177" s="510">
        <v>73.489607170940957</v>
      </c>
      <c r="AA177" s="510">
        <v>69.908058204320582</v>
      </c>
      <c r="AB177" s="510">
        <v>52.842009175891192</v>
      </c>
      <c r="AC177" s="510">
        <v>57.545258017505816</v>
      </c>
      <c r="AD177" s="510">
        <v>68.81943017786682</v>
      </c>
      <c r="AE177" s="510">
        <v>72.384645260641506</v>
      </c>
      <c r="AF177" s="510">
        <v>56.342295685378943</v>
      </c>
    </row>
    <row r="178" spans="1:32">
      <c r="A178" s="21">
        <v>713</v>
      </c>
      <c r="B178" s="21" t="s">
        <v>156</v>
      </c>
    </row>
    <row r="179" spans="1:32">
      <c r="A179" s="21">
        <v>510</v>
      </c>
      <c r="B179" s="21" t="s">
        <v>107</v>
      </c>
      <c r="C179" s="1344"/>
      <c r="D179" s="1344"/>
      <c r="E179" s="1344"/>
      <c r="F179" s="1344"/>
      <c r="G179" s="1344"/>
      <c r="H179" s="1344"/>
      <c r="I179" s="1344"/>
      <c r="J179" s="1344"/>
      <c r="K179" s="1344"/>
      <c r="L179" s="1344"/>
      <c r="M179" s="1344">
        <v>37.454631253664111</v>
      </c>
      <c r="N179" s="511">
        <v>33.639149642861419</v>
      </c>
      <c r="O179" s="511">
        <v>39.353577471862458</v>
      </c>
      <c r="P179" s="511">
        <v>47.70761085251192</v>
      </c>
      <c r="Q179" s="511">
        <v>43.624968299601505</v>
      </c>
      <c r="R179" s="511">
        <v>41.507697401092535</v>
      </c>
      <c r="S179" s="511">
        <v>31.943507371454082</v>
      </c>
      <c r="T179" s="511">
        <v>25.689519138999618</v>
      </c>
      <c r="U179" s="511">
        <v>25.01989802358613</v>
      </c>
      <c r="V179" s="511">
        <v>22.854334197292928</v>
      </c>
      <c r="W179" s="511">
        <v>20.125944615278939</v>
      </c>
      <c r="X179" s="511">
        <v>21.283688820798144</v>
      </c>
      <c r="Y179" s="511">
        <v>19.84033329672717</v>
      </c>
      <c r="Z179" s="511">
        <v>22.81101723935997</v>
      </c>
      <c r="AA179" s="511">
        <v>26.065805528818764</v>
      </c>
      <c r="AB179" s="511">
        <v>29.731027815710753</v>
      </c>
      <c r="AC179" s="511">
        <v>35.697571654355755</v>
      </c>
      <c r="AD179" s="511">
        <v>37.146252662239725</v>
      </c>
      <c r="AE179" s="511">
        <v>39.05198143768456</v>
      </c>
      <c r="AF179" s="511">
        <v>35.152118073784919</v>
      </c>
    </row>
    <row r="180" spans="1:32">
      <c r="A180" s="21">
        <v>800</v>
      </c>
      <c r="B180" s="21" t="s">
        <v>168</v>
      </c>
      <c r="C180" s="1345">
        <v>30.367618479695601</v>
      </c>
      <c r="D180" s="1345">
        <v>30.12128524530706</v>
      </c>
      <c r="E180" s="1345">
        <v>24.63042167614492</v>
      </c>
      <c r="F180" s="1345">
        <v>27.273290231810215</v>
      </c>
      <c r="G180" s="1345">
        <v>26.167882512095442</v>
      </c>
      <c r="H180" s="1345">
        <v>25.941598461774273</v>
      </c>
      <c r="I180" s="1345">
        <v>23.569057513050858</v>
      </c>
      <c r="J180" s="1345">
        <v>28.333973948603631</v>
      </c>
      <c r="K180" s="1345">
        <v>34.401501299120362</v>
      </c>
      <c r="L180" s="1345">
        <v>37.485404325676846</v>
      </c>
      <c r="M180" s="1345">
        <v>41.65043532295752</v>
      </c>
      <c r="N180" s="512">
        <v>42.506824370579793</v>
      </c>
      <c r="O180" s="512">
        <v>40.982171629435101</v>
      </c>
      <c r="P180" s="512">
        <v>42.198649137958739</v>
      </c>
      <c r="Q180" s="512">
        <v>43.71485196972705</v>
      </c>
      <c r="R180" s="512">
        <v>48.585549207405208</v>
      </c>
      <c r="S180" s="512">
        <v>45.526246400881973</v>
      </c>
      <c r="T180" s="512">
        <v>46.594140274608641</v>
      </c>
      <c r="U180" s="512">
        <v>42.989945771010262</v>
      </c>
      <c r="V180" s="512">
        <v>45.72594110752798</v>
      </c>
      <c r="W180" s="512">
        <v>58.144564673552125</v>
      </c>
      <c r="X180" s="512">
        <v>59.366284848043307</v>
      </c>
      <c r="Y180" s="512">
        <v>57.502581438556874</v>
      </c>
      <c r="Z180" s="512">
        <v>58.898935827730185</v>
      </c>
      <c r="AA180" s="512">
        <v>65.840571411312723</v>
      </c>
      <c r="AB180" s="512">
        <v>74.687001763596299</v>
      </c>
      <c r="AC180" s="512">
        <v>70.109957551362129</v>
      </c>
      <c r="AD180" s="512">
        <v>65.001056409525333</v>
      </c>
      <c r="AE180" s="512">
        <v>73.884317579221317</v>
      </c>
      <c r="AF180" s="512">
        <v>57.848365460629346</v>
      </c>
    </row>
    <row r="181" spans="1:32">
      <c r="A181" s="21">
        <v>701</v>
      </c>
      <c r="B181" s="21" t="s">
        <v>149</v>
      </c>
      <c r="N181" s="518">
        <v>26.791991990888608</v>
      </c>
      <c r="O181" s="518">
        <v>38.184182614057313</v>
      </c>
      <c r="P181" s="518">
        <v>61.373430626118264</v>
      </c>
      <c r="Q181" s="518">
        <v>85.302570246954701</v>
      </c>
      <c r="R181" s="518">
        <v>84.206593017714724</v>
      </c>
      <c r="S181" s="518">
        <v>75.409311505863229</v>
      </c>
      <c r="T181" s="518">
        <v>68.546602276834577</v>
      </c>
      <c r="U181" s="518">
        <v>70.806633561525544</v>
      </c>
      <c r="V181" s="518">
        <v>83.494966271427259</v>
      </c>
      <c r="W181" s="518">
        <v>80.938832486028517</v>
      </c>
      <c r="X181" s="518">
        <v>76.864930021040081</v>
      </c>
      <c r="Y181" s="518">
        <v>53.406197181128867</v>
      </c>
      <c r="Z181" s="518">
        <v>56.612858850265127</v>
      </c>
      <c r="AA181" s="518">
        <v>59.531895150365756</v>
      </c>
      <c r="AB181" s="518">
        <v>47.776777516515509</v>
      </c>
      <c r="AC181" s="518">
        <v>34.920610309649</v>
      </c>
      <c r="AD181" s="518">
        <v>38.699748148148153</v>
      </c>
      <c r="AE181" s="518">
        <v>45.724485497790901</v>
      </c>
      <c r="AF181" s="518">
        <v>45.845646437994723</v>
      </c>
    </row>
    <row r="182" spans="1:32">
      <c r="A182" s="21">
        <v>461</v>
      </c>
      <c r="B182" s="21" t="s">
        <v>97</v>
      </c>
      <c r="C182" s="1346">
        <v>56.351519300399787</v>
      </c>
      <c r="D182" s="1346">
        <v>52.96367143957972</v>
      </c>
      <c r="E182" s="1346">
        <v>58.666668851200022</v>
      </c>
      <c r="F182" s="1346">
        <v>46.744348053218019</v>
      </c>
      <c r="G182" s="1346">
        <v>53.34607957716122</v>
      </c>
      <c r="H182" s="1346">
        <v>57.109488454709989</v>
      </c>
      <c r="I182" s="1346">
        <v>55.688623902731308</v>
      </c>
      <c r="J182" s="1346">
        <v>50.745869150237787</v>
      </c>
      <c r="K182" s="1346">
        <v>52.594768446635257</v>
      </c>
      <c r="L182" s="1346">
        <v>48.841274383319742</v>
      </c>
      <c r="M182" s="1346">
        <v>45.335260354845907</v>
      </c>
      <c r="N182" s="513">
        <v>41.533573655278808</v>
      </c>
      <c r="O182" s="513">
        <v>36.151643418556297</v>
      </c>
      <c r="P182" s="513">
        <v>32.094578525468883</v>
      </c>
      <c r="Q182" s="513">
        <v>34.254492345471213</v>
      </c>
      <c r="R182" s="513">
        <v>37.409553841735665</v>
      </c>
      <c r="S182" s="513">
        <v>44.140389302869551</v>
      </c>
      <c r="T182" s="513">
        <v>44.80554336851317</v>
      </c>
      <c r="U182" s="513">
        <v>43.301480158908731</v>
      </c>
      <c r="V182" s="513">
        <v>39.014838730722204</v>
      </c>
      <c r="W182" s="513">
        <v>50.713305657191107</v>
      </c>
      <c r="X182" s="513">
        <v>51.083720406389176</v>
      </c>
      <c r="Y182" s="513">
        <v>51.718437646368173</v>
      </c>
      <c r="Z182" s="513">
        <v>47.373569304817089</v>
      </c>
      <c r="AA182" s="513">
        <v>46.9966931045753</v>
      </c>
      <c r="AB182" s="513">
        <v>57.2112532973713</v>
      </c>
      <c r="AC182" s="513">
        <v>61.83345901227252</v>
      </c>
      <c r="AD182" s="513">
        <v>62.451518348544667</v>
      </c>
      <c r="AE182" s="513"/>
      <c r="AF182" s="513"/>
    </row>
    <row r="183" spans="1:32">
      <c r="A183" s="21">
        <v>955</v>
      </c>
      <c r="B183" s="21" t="s">
        <v>185</v>
      </c>
      <c r="C183" s="1347">
        <v>67.718555576935415</v>
      </c>
      <c r="D183" s="1347">
        <v>67.24516736517549</v>
      </c>
      <c r="E183" s="1347">
        <v>64.62503881162877</v>
      </c>
      <c r="F183" s="1347">
        <v>69.170650838526328</v>
      </c>
      <c r="G183" s="1347">
        <v>62.955020420428617</v>
      </c>
      <c r="H183" s="1347">
        <v>72.23074955231516</v>
      </c>
      <c r="I183" s="1347">
        <v>69.875809882279142</v>
      </c>
      <c r="J183" s="1347">
        <v>64.605571130944725</v>
      </c>
      <c r="K183" s="1347">
        <v>66.749184832680399</v>
      </c>
      <c r="L183" s="1347">
        <v>62.805693577913104</v>
      </c>
      <c r="M183" s="1347">
        <v>65.095544863953904</v>
      </c>
      <c r="N183" s="514">
        <v>60.558770681165839</v>
      </c>
      <c r="O183" s="514">
        <v>48.988854106866256</v>
      </c>
      <c r="P183" s="514">
        <v>47.549433922888298</v>
      </c>
      <c r="Q183" s="514">
        <v>46.299331573686395</v>
      </c>
      <c r="R183" s="514">
        <v>55.852116882782724</v>
      </c>
      <c r="S183" s="514">
        <v>58.374568794092831</v>
      </c>
      <c r="T183" s="514">
        <v>51.673243271282985</v>
      </c>
      <c r="U183" s="514">
        <v>59.581330520585581</v>
      </c>
      <c r="V183" s="514">
        <v>45.604831259423015</v>
      </c>
      <c r="W183" s="514">
        <v>46.861606973597411</v>
      </c>
      <c r="X183" s="514">
        <v>46.306992653940384</v>
      </c>
      <c r="Y183" s="514">
        <v>55.394775939533837</v>
      </c>
      <c r="Z183" s="514">
        <v>54.487361171916518</v>
      </c>
      <c r="AA183" s="514">
        <v>55.597781302885551</v>
      </c>
      <c r="AB183" s="514">
        <v>60.558359257463046</v>
      </c>
      <c r="AC183" s="514">
        <v>53.025557508381873</v>
      </c>
      <c r="AD183" s="514">
        <v>52.063167792387652</v>
      </c>
      <c r="AE183" s="514">
        <v>57.704479912291596</v>
      </c>
      <c r="AF183" s="514">
        <v>58.491422714716968</v>
      </c>
    </row>
    <row r="184" spans="1:32">
      <c r="A184" s="21">
        <v>52</v>
      </c>
      <c r="B184" s="21" t="s">
        <v>7</v>
      </c>
      <c r="C184" s="1348">
        <v>38.979425852248859</v>
      </c>
      <c r="D184" s="1348">
        <v>36.208177996346294</v>
      </c>
      <c r="E184" s="1348">
        <v>42.084429977153782</v>
      </c>
      <c r="F184" s="1348">
        <v>40.632711700187699</v>
      </c>
      <c r="G184" s="1348">
        <v>33.751099374668428</v>
      </c>
      <c r="H184" s="1348">
        <v>28.424786271899226</v>
      </c>
      <c r="I184" s="1348">
        <v>37.509922767937873</v>
      </c>
      <c r="J184" s="1348">
        <v>32.473556493740176</v>
      </c>
      <c r="K184" s="1348">
        <v>34.25071974914885</v>
      </c>
      <c r="L184" s="1348">
        <v>34.924805568253674</v>
      </c>
      <c r="M184" s="1348">
        <v>28.588673392895242</v>
      </c>
      <c r="N184" s="515">
        <v>32.930415622164475</v>
      </c>
      <c r="O184" s="515">
        <v>33.025329035391643</v>
      </c>
      <c r="P184" s="515">
        <v>39.08698630222753</v>
      </c>
      <c r="Q184" s="515">
        <v>32.660675525493573</v>
      </c>
      <c r="R184" s="515">
        <v>39.223145808969377</v>
      </c>
      <c r="S184" s="515">
        <v>41.276995222876756</v>
      </c>
      <c r="T184" s="515">
        <v>57.343846613672056</v>
      </c>
      <c r="U184" s="515">
        <v>53.818104499002871</v>
      </c>
      <c r="V184" s="515">
        <v>44.18189560806352</v>
      </c>
      <c r="W184" s="515">
        <v>45.486343891229538</v>
      </c>
      <c r="X184" s="515">
        <v>44.590162742331913</v>
      </c>
      <c r="Y184" s="515">
        <v>44.738674720198965</v>
      </c>
      <c r="Z184" s="515">
        <v>37.907017267114931</v>
      </c>
      <c r="AA184" s="515">
        <v>40.687869020512366</v>
      </c>
      <c r="AB184" s="515">
        <v>38.991180151367672</v>
      </c>
      <c r="AC184" s="515">
        <v>38.461850264335794</v>
      </c>
      <c r="AD184" s="515">
        <v>37.080589170915204</v>
      </c>
      <c r="AE184" s="515">
        <v>39.384074320572061</v>
      </c>
      <c r="AF184" s="515"/>
    </row>
    <row r="185" spans="1:32">
      <c r="A185" s="21">
        <v>616</v>
      </c>
      <c r="B185" s="21" t="s">
        <v>130</v>
      </c>
      <c r="C185" s="1349">
        <v>45.600903827143057</v>
      </c>
      <c r="D185" s="1349">
        <v>49.839019702066317</v>
      </c>
      <c r="E185" s="1349">
        <v>47.439846807093502</v>
      </c>
      <c r="F185" s="1349">
        <v>42.719782643213776</v>
      </c>
      <c r="G185" s="1349">
        <v>44.328176657725656</v>
      </c>
      <c r="H185" s="1349">
        <v>38.13316615134719</v>
      </c>
      <c r="I185" s="1349">
        <v>37.302385341601031</v>
      </c>
      <c r="J185" s="1349">
        <v>35.81571316565654</v>
      </c>
      <c r="K185" s="1349">
        <v>41.657621873773181</v>
      </c>
      <c r="L185" s="1349">
        <v>47.661602310764451</v>
      </c>
      <c r="M185" s="1349">
        <v>50.604214244108107</v>
      </c>
      <c r="N185" s="516">
        <v>45.320397712157487</v>
      </c>
      <c r="O185" s="516">
        <v>46.465000218885436</v>
      </c>
      <c r="P185" s="516">
        <v>47.965628643524518</v>
      </c>
      <c r="Q185" s="516">
        <v>47.872111699907677</v>
      </c>
      <c r="R185" s="516">
        <v>48.810096294819317</v>
      </c>
      <c r="S185" s="516">
        <v>43.610978532803948</v>
      </c>
      <c r="T185" s="516">
        <v>46.224076714740981</v>
      </c>
      <c r="U185" s="516">
        <v>46.394837039630865</v>
      </c>
      <c r="V185" s="516">
        <v>44.775774574814768</v>
      </c>
      <c r="W185" s="516">
        <v>48.187490853967404</v>
      </c>
      <c r="X185" s="516">
        <v>52.261860466733665</v>
      </c>
      <c r="Y185" s="516">
        <v>49.51075732360195</v>
      </c>
      <c r="Z185" s="516">
        <v>47.686980824470147</v>
      </c>
      <c r="AA185" s="516">
        <v>49.86128157556729</v>
      </c>
      <c r="AB185" s="516">
        <v>50.126293207847482</v>
      </c>
      <c r="AC185" s="516">
        <v>52.714950243504724</v>
      </c>
      <c r="AD185" s="516">
        <v>55.584971739278132</v>
      </c>
      <c r="AE185" s="516">
        <v>64.432318792486427</v>
      </c>
      <c r="AF185" s="516">
        <v>55.343193307371031</v>
      </c>
    </row>
    <row r="186" spans="1:32">
      <c r="A186" s="21">
        <v>640</v>
      </c>
      <c r="B186" s="21" t="s">
        <v>134</v>
      </c>
      <c r="C186" s="1350">
        <v>11.926968132451343</v>
      </c>
      <c r="D186" s="1350">
        <v>12.904974036096698</v>
      </c>
      <c r="E186" s="1350">
        <v>15.016554838680163</v>
      </c>
      <c r="F186" s="1350">
        <v>16.558190840426295</v>
      </c>
      <c r="G186" s="1350">
        <v>19.673415555614149</v>
      </c>
      <c r="H186" s="1350">
        <v>18.966303455565527</v>
      </c>
      <c r="I186" s="1350">
        <v>16.101982718290973</v>
      </c>
      <c r="J186" s="1350">
        <v>17.757444604593832</v>
      </c>
      <c r="K186" s="1350">
        <v>17.552863427600805</v>
      </c>
      <c r="L186" s="1350">
        <v>17.780752485770304</v>
      </c>
      <c r="M186" s="1350">
        <v>17.577892648505241</v>
      </c>
      <c r="N186" s="517">
        <v>16.63488155927892</v>
      </c>
      <c r="O186" s="517">
        <v>17.345129910515034</v>
      </c>
      <c r="P186" s="517">
        <v>19.343284925613833</v>
      </c>
      <c r="Q186" s="517">
        <v>20.383721133728415</v>
      </c>
      <c r="R186" s="517">
        <v>24.351027247677447</v>
      </c>
      <c r="S186" s="517">
        <v>27.826656749419591</v>
      </c>
      <c r="T186" s="517">
        <v>30.388605888097093</v>
      </c>
      <c r="U186" s="517">
        <v>20.180324679746906</v>
      </c>
      <c r="V186" s="517">
        <v>19.285991051505299</v>
      </c>
      <c r="W186" s="517">
        <v>23.094273392337954</v>
      </c>
      <c r="X186" s="517">
        <v>23.315348958228093</v>
      </c>
      <c r="Y186" s="517">
        <v>23.582772793430788</v>
      </c>
      <c r="Z186" s="517">
        <v>24.03808491776692</v>
      </c>
      <c r="AA186" s="517">
        <v>26.185618461449572</v>
      </c>
      <c r="AB186" s="517">
        <v>25.351503549267139</v>
      </c>
      <c r="AC186" s="517">
        <v>27.581049656345709</v>
      </c>
      <c r="AD186" s="517">
        <v>27.483872479227028</v>
      </c>
      <c r="AE186" s="517">
        <v>28.340677361178727</v>
      </c>
      <c r="AF186" s="517">
        <v>24.419392062160835</v>
      </c>
    </row>
    <row r="187" spans="1:32">
      <c r="A187" s="21">
        <v>947</v>
      </c>
      <c r="B187" s="21" t="s">
        <v>183</v>
      </c>
    </row>
    <row r="188" spans="1:32">
      <c r="A188" s="21">
        <v>696</v>
      </c>
      <c r="B188" s="21" t="s">
        <v>146</v>
      </c>
      <c r="C188" s="1353">
        <v>34.483259889781344</v>
      </c>
      <c r="D188" s="1353">
        <v>33.966684234011133</v>
      </c>
      <c r="E188" s="1353">
        <v>35.732151361269423</v>
      </c>
      <c r="F188" s="1353">
        <v>36.159849520891456</v>
      </c>
      <c r="G188" s="1353">
        <v>31.77887322706346</v>
      </c>
      <c r="H188" s="1353">
        <v>30.91115104586477</v>
      </c>
      <c r="I188" s="1353">
        <v>39.499277128132313</v>
      </c>
      <c r="J188" s="1353">
        <v>38.648913640322284</v>
      </c>
      <c r="K188" s="1353">
        <v>44.623798146440507</v>
      </c>
      <c r="L188" s="1353">
        <v>44.364511775293991</v>
      </c>
      <c r="M188" s="1353">
        <v>41.241369262026375</v>
      </c>
      <c r="N188" s="521">
        <v>47.738899284063166</v>
      </c>
      <c r="O188" s="521">
        <v>57.036923076045589</v>
      </c>
      <c r="P188" s="521">
        <v>66.527461304215166</v>
      </c>
      <c r="Q188" s="521">
        <v>67.308267249403968</v>
      </c>
      <c r="R188" s="521">
        <v>63.023723461824069</v>
      </c>
      <c r="S188" s="521">
        <v>70.896903235109988</v>
      </c>
      <c r="T188" s="521">
        <v>73.929464333209211</v>
      </c>
      <c r="U188" s="521">
        <v>75.371383015753608</v>
      </c>
      <c r="V188" s="521">
        <v>65.077109788947112</v>
      </c>
      <c r="W188" s="521">
        <v>55.337188084902152</v>
      </c>
      <c r="X188" s="521">
        <v>61.232832175595519</v>
      </c>
      <c r="Y188" s="521">
        <v>63.552189465536756</v>
      </c>
      <c r="Z188" s="521">
        <v>65.10362550952027</v>
      </c>
      <c r="AA188" s="521">
        <v>75.663195564965747</v>
      </c>
      <c r="AB188" s="521">
        <v>71.483819982720561</v>
      </c>
      <c r="AC188" s="521">
        <v>67.733969201524076</v>
      </c>
      <c r="AD188" s="521">
        <v>63.833136560409287</v>
      </c>
      <c r="AE188" s="521"/>
      <c r="AF188" s="521"/>
    </row>
    <row r="189" spans="1:32">
      <c r="A189" s="21">
        <v>500</v>
      </c>
      <c r="B189" s="21" t="s">
        <v>105</v>
      </c>
      <c r="C189" s="1351">
        <v>26.032251066599176</v>
      </c>
      <c r="D189" s="1351">
        <v>22.059373364241385</v>
      </c>
      <c r="E189" s="1351">
        <v>17.520091848450058</v>
      </c>
      <c r="F189" s="1351">
        <v>13.643803005505134</v>
      </c>
      <c r="G189" s="1351">
        <v>14.32515674962556</v>
      </c>
      <c r="H189" s="1351">
        <v>15.008331521600049</v>
      </c>
      <c r="I189" s="1351">
        <v>15.238280021216166</v>
      </c>
      <c r="J189" s="1351">
        <v>18.043291880897623</v>
      </c>
      <c r="K189" s="1351">
        <v>17.777366988017231</v>
      </c>
      <c r="L189" s="1351">
        <v>18.093227819953828</v>
      </c>
      <c r="M189" s="1351">
        <v>19.368822901303801</v>
      </c>
      <c r="N189" s="519">
        <v>21.937771550694837</v>
      </c>
      <c r="O189" s="519">
        <v>24.291055246225213</v>
      </c>
      <c r="P189" s="519">
        <v>21.177311560875385</v>
      </c>
      <c r="Q189" s="519">
        <v>19.098828026462012</v>
      </c>
      <c r="R189" s="519">
        <v>20.831153529716872</v>
      </c>
      <c r="S189" s="519">
        <v>23.424373608420261</v>
      </c>
      <c r="T189" s="519">
        <v>20.799053286550411</v>
      </c>
      <c r="U189" s="519">
        <v>20.404874343647833</v>
      </c>
      <c r="V189" s="519">
        <v>23.773136260595109</v>
      </c>
      <c r="W189" s="519">
        <v>22.097624044579003</v>
      </c>
      <c r="X189" s="519">
        <v>23.811894144622194</v>
      </c>
      <c r="Y189" s="519">
        <v>25.064514991437587</v>
      </c>
      <c r="Z189" s="519">
        <v>25.199001631122808</v>
      </c>
      <c r="AA189" s="519">
        <v>22.809111139714648</v>
      </c>
      <c r="AB189" s="519">
        <v>24.852716805536641</v>
      </c>
      <c r="AC189" s="519">
        <v>28.416242145745802</v>
      </c>
      <c r="AD189" s="519">
        <v>30.078136261876427</v>
      </c>
      <c r="AE189" s="519">
        <v>31.977339528030829</v>
      </c>
      <c r="AF189" s="519">
        <v>34.635835252947139</v>
      </c>
    </row>
    <row r="190" spans="1:32">
      <c r="A190" s="21">
        <v>200</v>
      </c>
      <c r="B190" s="21" t="s">
        <v>35</v>
      </c>
      <c r="C190" s="1354">
        <v>24.677936736654317</v>
      </c>
      <c r="D190" s="1354">
        <v>23.554797700943112</v>
      </c>
      <c r="E190" s="1354">
        <v>24.117868936460944</v>
      </c>
      <c r="F190" s="1354">
        <v>25.261468651430469</v>
      </c>
      <c r="G190" s="1354">
        <v>28.119534543955528</v>
      </c>
      <c r="H190" s="1354">
        <v>27.348393124685565</v>
      </c>
      <c r="I190" s="1354">
        <v>25.990301915204718</v>
      </c>
      <c r="J190" s="1354">
        <v>26.068608353842741</v>
      </c>
      <c r="K190" s="1354">
        <v>26.116277611753151</v>
      </c>
      <c r="L190" s="1354">
        <v>27.2259811070032</v>
      </c>
      <c r="M190" s="1354">
        <v>26.06547977057005</v>
      </c>
      <c r="N190" s="522">
        <v>23.815195167907209</v>
      </c>
      <c r="O190" s="522">
        <v>24.462609310699587</v>
      </c>
      <c r="P190" s="522">
        <v>26.097071825569095</v>
      </c>
      <c r="Q190" s="522">
        <v>26.866304851317558</v>
      </c>
      <c r="R190" s="522">
        <v>28.36692278109172</v>
      </c>
      <c r="S190" s="522">
        <v>29.224689980888446</v>
      </c>
      <c r="T190" s="522">
        <v>28.071399142747687</v>
      </c>
      <c r="U190" s="522">
        <v>27.311279009716731</v>
      </c>
      <c r="V190" s="522">
        <v>27.583904902393591</v>
      </c>
      <c r="W190" s="522">
        <v>29.470893456749543</v>
      </c>
      <c r="X190" s="522">
        <v>29.445072947697653</v>
      </c>
      <c r="Y190" s="522">
        <v>28.69276026345247</v>
      </c>
      <c r="Z190" s="522">
        <v>27.784436181394799</v>
      </c>
      <c r="AA190" s="522">
        <v>27.954638407389798</v>
      </c>
      <c r="AB190" s="522">
        <v>29.794554956788282</v>
      </c>
      <c r="AC190" s="522">
        <v>31.646144388838394</v>
      </c>
      <c r="AD190" s="522">
        <v>29.806588404168473</v>
      </c>
      <c r="AE190" s="522">
        <v>31.805270948748682</v>
      </c>
      <c r="AF190" s="522">
        <v>30.036779876664909</v>
      </c>
    </row>
    <row r="191" spans="1:32">
      <c r="A191" s="21">
        <v>369</v>
      </c>
      <c r="B191" s="21" t="s">
        <v>71</v>
      </c>
      <c r="C191" s="1352"/>
      <c r="D191" s="1352"/>
      <c r="E191" s="1352"/>
      <c r="F191" s="1352"/>
      <c r="G191" s="1352"/>
      <c r="H191" s="1352"/>
      <c r="I191" s="1352"/>
      <c r="J191" s="1352"/>
      <c r="K191" s="1352"/>
      <c r="L191" s="1352">
        <v>32.141134132189379</v>
      </c>
      <c r="M191" s="1352">
        <v>28.720329805120599</v>
      </c>
      <c r="N191" s="520">
        <v>23.944856698214657</v>
      </c>
      <c r="O191" s="520">
        <v>21.989948247023399</v>
      </c>
      <c r="P191" s="520">
        <v>26.190877920493989</v>
      </c>
      <c r="Q191" s="520">
        <v>38.555153107589888</v>
      </c>
      <c r="R191" s="520">
        <v>50.156446367991158</v>
      </c>
      <c r="S191" s="520">
        <v>48.204712065560926</v>
      </c>
      <c r="T191" s="520">
        <v>43.65018892972288</v>
      </c>
      <c r="U191" s="520">
        <v>44.161879689161871</v>
      </c>
      <c r="V191" s="520">
        <v>48.247915358303764</v>
      </c>
      <c r="W191" s="520">
        <v>57.413418004351144</v>
      </c>
      <c r="X191" s="520">
        <v>53.834174053577556</v>
      </c>
      <c r="Y191" s="520">
        <v>50.706788893317388</v>
      </c>
      <c r="Z191" s="520">
        <v>55.181713447842483</v>
      </c>
      <c r="AA191" s="520">
        <v>53.697774352168715</v>
      </c>
      <c r="AB191" s="520">
        <v>50.640839774199684</v>
      </c>
      <c r="AC191" s="520">
        <v>49.471380291939951</v>
      </c>
      <c r="AD191" s="520">
        <v>50.362617953161447</v>
      </c>
      <c r="AE191" s="520">
        <v>47.833158163349559</v>
      </c>
      <c r="AF191" s="520">
        <v>48.036557635123316</v>
      </c>
    </row>
    <row r="192" spans="1:32">
      <c r="A192" s="21">
        <v>165</v>
      </c>
      <c r="B192" s="21" t="s">
        <v>34</v>
      </c>
      <c r="C192" s="1356">
        <v>20.631425968504622</v>
      </c>
      <c r="D192" s="1356">
        <v>19.031346437676103</v>
      </c>
      <c r="E192" s="1356">
        <v>17.290791054162586</v>
      </c>
      <c r="F192" s="1356">
        <v>23.603864483988051</v>
      </c>
      <c r="G192" s="1356">
        <v>21.37545371381356</v>
      </c>
      <c r="H192" s="1356">
        <v>21.100043453554836</v>
      </c>
      <c r="I192" s="1356">
        <v>20.268650437647061</v>
      </c>
      <c r="J192" s="1356">
        <v>19.205948838427208</v>
      </c>
      <c r="K192" s="1356">
        <v>17.735925050881086</v>
      </c>
      <c r="L192" s="1356">
        <v>17.699692737115779</v>
      </c>
      <c r="M192" s="1356">
        <v>18.096348744396106</v>
      </c>
      <c r="N192" s="524">
        <v>17.861236442454867</v>
      </c>
      <c r="O192" s="524">
        <v>19.62546881282654</v>
      </c>
      <c r="P192" s="524">
        <v>19.558950912004747</v>
      </c>
      <c r="Q192" s="524">
        <v>20.38202333060163</v>
      </c>
      <c r="R192" s="524">
        <v>19.100862030330294</v>
      </c>
      <c r="S192" s="524">
        <v>19.858456657702369</v>
      </c>
      <c r="T192" s="524">
        <v>20.248549345859633</v>
      </c>
      <c r="U192" s="524">
        <v>19.220104818156685</v>
      </c>
      <c r="V192" s="524">
        <v>18.288795876072484</v>
      </c>
      <c r="W192" s="524">
        <v>20.015639202681257</v>
      </c>
      <c r="X192" s="524">
        <v>19.504853369838987</v>
      </c>
      <c r="Y192" s="524">
        <v>19.407394825601752</v>
      </c>
      <c r="Z192" s="524">
        <v>24.326779438897127</v>
      </c>
      <c r="AA192" s="524">
        <v>29.364392480923939</v>
      </c>
      <c r="AB192" s="524">
        <v>28.473676499571049</v>
      </c>
      <c r="AC192" s="524">
        <v>31.446980517208118</v>
      </c>
      <c r="AD192" s="524">
        <v>29.519552064143568</v>
      </c>
      <c r="AE192" s="524">
        <v>33.525504696208088</v>
      </c>
      <c r="AF192" s="524">
        <v>25.53570014977139</v>
      </c>
    </row>
    <row r="193" spans="1:32">
      <c r="A193" s="21">
        <v>2</v>
      </c>
      <c r="B193" s="21" t="s">
        <v>0</v>
      </c>
      <c r="C193" s="1355">
        <v>10.616079494128275</v>
      </c>
      <c r="D193" s="1355">
        <v>10.239061795218763</v>
      </c>
      <c r="E193" s="1355">
        <v>9.3936859063729585</v>
      </c>
      <c r="F193" s="1355">
        <v>9.3700989477886445</v>
      </c>
      <c r="G193" s="1355">
        <v>10.386114244692852</v>
      </c>
      <c r="H193" s="1355">
        <v>9.9694131141273186</v>
      </c>
      <c r="I193" s="1355">
        <v>10.23502824858757</v>
      </c>
      <c r="J193" s="1355">
        <v>10.825707597361141</v>
      </c>
      <c r="K193" s="1355">
        <v>10.94710217954038</v>
      </c>
      <c r="L193" s="1355">
        <v>10.86476946834326</v>
      </c>
      <c r="M193" s="1355">
        <v>10.942170014596512</v>
      </c>
      <c r="N193" s="523">
        <v>10.490981289540988</v>
      </c>
      <c r="O193" s="523">
        <v>10.614320909163157</v>
      </c>
      <c r="P193" s="523">
        <v>10.885505646856055</v>
      </c>
      <c r="Q193" s="523">
        <v>11.569589645117702</v>
      </c>
      <c r="R193" s="523">
        <v>12.26475344122403</v>
      </c>
      <c r="S193" s="523">
        <v>12.384537314199823</v>
      </c>
      <c r="T193" s="523">
        <v>12.752901955573808</v>
      </c>
      <c r="U193" s="523">
        <v>12.763985813980094</v>
      </c>
      <c r="V193" s="523">
        <v>13.454467261584776</v>
      </c>
      <c r="W193" s="523">
        <v>14.903826726471895</v>
      </c>
      <c r="X193" s="523">
        <v>13.667321353540684</v>
      </c>
      <c r="Y193" s="523">
        <v>13.504938528073124</v>
      </c>
      <c r="Z193" s="523">
        <v>13.933376618692062</v>
      </c>
      <c r="AA193" s="523">
        <v>15.229040914978453</v>
      </c>
      <c r="AB193" s="523">
        <v>16.119621294625468</v>
      </c>
      <c r="AC193" s="523">
        <v>16.798638292767055</v>
      </c>
      <c r="AD193" s="523">
        <v>16.894707647669573</v>
      </c>
      <c r="AE193" s="523">
        <v>17.772859817246729</v>
      </c>
      <c r="AF193" s="523">
        <v>13.915291451235923</v>
      </c>
    </row>
    <row r="194" spans="1:32">
      <c r="A194" s="21">
        <v>704</v>
      </c>
      <c r="B194" s="21" t="s">
        <v>152</v>
      </c>
      <c r="C194" s="1357"/>
      <c r="D194" s="1357"/>
      <c r="E194" s="1357"/>
      <c r="F194" s="1357"/>
      <c r="G194" s="1357"/>
      <c r="H194" s="1357"/>
      <c r="I194" s="1357"/>
      <c r="J194" s="1357"/>
      <c r="K194" s="1357"/>
      <c r="L194" s="1357"/>
      <c r="M194" s="1357">
        <v>47.798978736000791</v>
      </c>
      <c r="N194" s="525">
        <v>39.142930951286203</v>
      </c>
      <c r="O194" s="525">
        <v>43.184009876398584</v>
      </c>
      <c r="P194" s="525">
        <v>30.533647517358819</v>
      </c>
      <c r="Q194" s="525">
        <v>20.552239910230956</v>
      </c>
      <c r="R194" s="525">
        <v>28.051420865747772</v>
      </c>
      <c r="S194" s="525">
        <v>34.175251280503424</v>
      </c>
      <c r="T194" s="525">
        <v>30.004197250289199</v>
      </c>
      <c r="U194" s="525">
        <v>22.796761378320781</v>
      </c>
      <c r="V194" s="525">
        <v>18.409147538827245</v>
      </c>
      <c r="W194" s="525">
        <v>21.524850233461638</v>
      </c>
      <c r="X194" s="525">
        <v>27.645845512869162</v>
      </c>
      <c r="Y194" s="525">
        <v>29.345730421156123</v>
      </c>
      <c r="Z194" s="525">
        <v>30.549254774481916</v>
      </c>
      <c r="AA194" s="525">
        <v>32.651640159856456</v>
      </c>
      <c r="AB194" s="525">
        <v>28.661171973322279</v>
      </c>
      <c r="AC194" s="525">
        <v>31.492764303227951</v>
      </c>
      <c r="AD194" s="525">
        <v>36.533346105541007</v>
      </c>
      <c r="AE194" s="525">
        <v>40.785377612013221</v>
      </c>
      <c r="AF194" s="525">
        <v>36.438055705869942</v>
      </c>
    </row>
    <row r="195" spans="1:32">
      <c r="A195" s="21">
        <v>935</v>
      </c>
      <c r="B195" s="21" t="s">
        <v>180</v>
      </c>
      <c r="C195" s="1358">
        <v>41.776961977507263</v>
      </c>
      <c r="D195" s="1358">
        <v>40.737955826024532</v>
      </c>
      <c r="E195" s="1358">
        <v>45.296167030112585</v>
      </c>
      <c r="F195" s="1358">
        <v>66.946898510463313</v>
      </c>
      <c r="G195" s="1358">
        <v>62.240725596609913</v>
      </c>
      <c r="H195" s="1358">
        <v>69.083562061604141</v>
      </c>
      <c r="I195" s="1358">
        <v>64.812337713431418</v>
      </c>
      <c r="J195" s="1358">
        <v>64.24993042026162</v>
      </c>
      <c r="K195" s="1358">
        <v>60.114749871067566</v>
      </c>
      <c r="L195" s="1358">
        <v>62.901109388047239</v>
      </c>
      <c r="M195" s="1358">
        <v>72.942508898716426</v>
      </c>
      <c r="N195" s="526">
        <v>57.786943535770163</v>
      </c>
      <c r="O195" s="526">
        <v>55.276291533654067</v>
      </c>
      <c r="P195" s="526">
        <v>55.23680412821971</v>
      </c>
      <c r="Q195" s="526">
        <v>53.673157544175844</v>
      </c>
      <c r="R195" s="526">
        <v>53.38062006635397</v>
      </c>
      <c r="S195" s="526">
        <v>53.119637837245811</v>
      </c>
      <c r="T195" s="526">
        <v>50.40472175379427</v>
      </c>
      <c r="U195" s="526">
        <v>50.75512093507696</v>
      </c>
      <c r="V195" s="526">
        <v>52.119177507343686</v>
      </c>
      <c r="W195" s="526">
        <v>46.479675007115688</v>
      </c>
      <c r="X195" s="526">
        <v>48.122374287997111</v>
      </c>
      <c r="Y195" s="526">
        <v>51.451996826236446</v>
      </c>
      <c r="Z195" s="526">
        <v>46.760414304074999</v>
      </c>
      <c r="AA195" s="526">
        <v>47.41520690228888</v>
      </c>
      <c r="AB195" s="526">
        <v>50.458323010743001</v>
      </c>
      <c r="AC195" s="526">
        <v>47.029583901226651</v>
      </c>
      <c r="AD195" s="526">
        <v>46.070557866054784</v>
      </c>
      <c r="AE195" s="526">
        <v>55.399031106578278</v>
      </c>
      <c r="AF195" s="526"/>
    </row>
    <row r="196" spans="1:32">
      <c r="A196" s="21">
        <v>101</v>
      </c>
      <c r="B196" s="21" t="s">
        <v>24</v>
      </c>
      <c r="C196" s="1359">
        <v>21.826727700869796</v>
      </c>
      <c r="D196" s="1359">
        <v>21.916990751538489</v>
      </c>
      <c r="E196" s="1359">
        <v>24.77953909813403</v>
      </c>
      <c r="F196" s="1359">
        <v>11.203439314296581</v>
      </c>
      <c r="G196" s="1359">
        <v>18.778373102914582</v>
      </c>
      <c r="H196" s="1359">
        <v>18.065728786910359</v>
      </c>
      <c r="I196" s="1359">
        <v>20.244568530394282</v>
      </c>
      <c r="J196" s="1359">
        <v>23.372811981649562</v>
      </c>
      <c r="K196" s="1359">
        <v>27.230351535863484</v>
      </c>
      <c r="L196" s="1359">
        <v>21.087872369585813</v>
      </c>
      <c r="M196" s="1359">
        <v>20.184085982254775</v>
      </c>
      <c r="N196" s="527">
        <v>26.226900350684048</v>
      </c>
      <c r="O196" s="527">
        <v>28.908747778945234</v>
      </c>
      <c r="P196" s="527">
        <v>27.18119482506382</v>
      </c>
      <c r="Q196" s="527">
        <v>22.299269685949742</v>
      </c>
      <c r="R196" s="527">
        <v>21.815998116572306</v>
      </c>
      <c r="S196" s="527">
        <v>21.327246486323212</v>
      </c>
      <c r="T196" s="527">
        <v>21.986025799539956</v>
      </c>
      <c r="U196" s="527">
        <v>22.678906452400636</v>
      </c>
      <c r="V196" s="527">
        <v>19.158521584103696</v>
      </c>
      <c r="W196" s="527">
        <v>18.113001893198042</v>
      </c>
      <c r="X196" s="527">
        <v>19.40563645219714</v>
      </c>
      <c r="Y196" s="527">
        <v>18.142140100192353</v>
      </c>
      <c r="Z196" s="527">
        <v>16.723617969754454</v>
      </c>
      <c r="AA196" s="527">
        <v>19.169102035111564</v>
      </c>
      <c r="AB196" s="527">
        <v>20.468677012516967</v>
      </c>
      <c r="AC196" s="527">
        <v>21.603667986169185</v>
      </c>
      <c r="AD196" s="527">
        <v>25.540390019141277</v>
      </c>
      <c r="AE196" s="527">
        <v>20.414836894784404</v>
      </c>
      <c r="AF196" s="527">
        <v>20.46979221379911</v>
      </c>
    </row>
    <row r="197" spans="1:32">
      <c r="A197" s="21">
        <v>990</v>
      </c>
      <c r="B197" s="21" t="s">
        <v>190</v>
      </c>
      <c r="N197" s="488"/>
      <c r="O197" s="488"/>
      <c r="P197" s="488"/>
      <c r="Q197" s="488">
        <v>49.259505482623005</v>
      </c>
      <c r="R197" s="488">
        <v>59.84696224907379</v>
      </c>
      <c r="S197" s="488">
        <v>56.568617511520735</v>
      </c>
      <c r="T197" s="488">
        <v>53.36246203646099</v>
      </c>
      <c r="U197" s="488">
        <v>56.288664786140608</v>
      </c>
      <c r="V197" s="488">
        <v>62.27529392723784</v>
      </c>
      <c r="W197" s="488">
        <v>57.192417021768485</v>
      </c>
      <c r="X197" s="488">
        <v>79.151716330563929</v>
      </c>
      <c r="Y197" s="488">
        <v>75.538613018583973</v>
      </c>
      <c r="Z197" s="488">
        <v>53.968359487022191</v>
      </c>
      <c r="AA197" s="488">
        <v>50.153648698648645</v>
      </c>
      <c r="AB197" s="488">
        <v>55.415403170503353</v>
      </c>
      <c r="AC197" s="488">
        <v>60.509640769368133</v>
      </c>
      <c r="AD197" s="488">
        <v>61.337643347379242</v>
      </c>
      <c r="AE197" s="488">
        <v>53.380655139491431</v>
      </c>
      <c r="AF197" s="488">
        <v>58.514864047269363</v>
      </c>
    </row>
    <row r="198" spans="1:32">
      <c r="A198" s="21">
        <v>679</v>
      </c>
      <c r="B198" s="21" t="s">
        <v>142</v>
      </c>
      <c r="C198" s="1361"/>
      <c r="D198" s="1361"/>
      <c r="E198" s="1361"/>
      <c r="F198" s="1361"/>
      <c r="G198" s="1361"/>
      <c r="H198" s="1361"/>
      <c r="I198" s="1361"/>
      <c r="J198" s="1361"/>
      <c r="K198" s="1361"/>
      <c r="L198" s="1361"/>
      <c r="M198" s="1361">
        <v>20.072891500252062</v>
      </c>
      <c r="N198" s="529">
        <v>35.572835044263691</v>
      </c>
      <c r="O198" s="529">
        <v>50.475343892341151</v>
      </c>
      <c r="P198" s="529">
        <v>64.917753120980379</v>
      </c>
      <c r="Q198" s="529">
        <v>58.671910191185525</v>
      </c>
      <c r="R198" s="529">
        <v>58.036949406344377</v>
      </c>
      <c r="S198" s="529">
        <v>49.168394683062679</v>
      </c>
      <c r="T198" s="529">
        <v>44.458671555056725</v>
      </c>
      <c r="U198" s="529">
        <v>47.209809189813477</v>
      </c>
      <c r="V198" s="529">
        <v>38.026874748468451</v>
      </c>
      <c r="W198" s="529">
        <v>36.645220304599242</v>
      </c>
      <c r="X198" s="529">
        <v>38.657575495643329</v>
      </c>
      <c r="Y198" s="529">
        <v>40.280207820939474</v>
      </c>
      <c r="Z198" s="529">
        <v>41.436579238764196</v>
      </c>
      <c r="AA198" s="529"/>
      <c r="AB198" s="529"/>
      <c r="AC198" s="529"/>
      <c r="AD198" s="529"/>
      <c r="AE198" s="529"/>
      <c r="AF198" s="529"/>
    </row>
    <row r="199" spans="1:32">
      <c r="A199" s="21">
        <v>345</v>
      </c>
      <c r="B199" s="21" t="s">
        <v>59</v>
      </c>
      <c r="N199" s="491"/>
      <c r="O199" s="491"/>
      <c r="P199" s="491"/>
      <c r="Q199" s="491"/>
      <c r="R199" s="491"/>
      <c r="S199" s="491"/>
      <c r="T199" s="491">
        <v>24.144878679477831</v>
      </c>
      <c r="U199" s="491">
        <v>30.906527783117273</v>
      </c>
      <c r="V199" s="491">
        <v>27.86325706075975</v>
      </c>
      <c r="W199" s="491">
        <v>40.493761890428786</v>
      </c>
      <c r="X199" s="491">
        <v>39.351824326622349</v>
      </c>
      <c r="Y199" s="491">
        <v>40.129239560048731</v>
      </c>
      <c r="Z199" s="491">
        <v>41.569561618271003</v>
      </c>
      <c r="AA199" s="491">
        <v>49.987815882872219</v>
      </c>
      <c r="AB199" s="491">
        <v>47.165919419657769</v>
      </c>
      <c r="AC199" s="491">
        <v>51.431325586034319</v>
      </c>
      <c r="AD199" s="491">
        <v>54.115915763368783</v>
      </c>
      <c r="AE199" s="491">
        <v>53.732252517077143</v>
      </c>
      <c r="AF199" s="491">
        <v>43.944404149239986</v>
      </c>
    </row>
    <row r="200" spans="1:32">
      <c r="A200" s="21">
        <v>551</v>
      </c>
      <c r="B200" s="21" t="s">
        <v>116</v>
      </c>
      <c r="C200" s="1362">
        <v>45.410626122026329</v>
      </c>
      <c r="D200" s="1362">
        <v>41.145921319406966</v>
      </c>
      <c r="E200" s="1362">
        <v>36.478179761937731</v>
      </c>
      <c r="F200" s="1362">
        <v>31.495743047798509</v>
      </c>
      <c r="G200" s="1362">
        <v>33.232611961196817</v>
      </c>
      <c r="H200" s="1362">
        <v>37.200749621442618</v>
      </c>
      <c r="I200" s="1362">
        <v>43.86185336953838</v>
      </c>
      <c r="J200" s="1362">
        <v>35.684011002823837</v>
      </c>
      <c r="K200" s="1362">
        <v>26.167472287748815</v>
      </c>
      <c r="L200" s="1362">
        <v>33.825104904827228</v>
      </c>
      <c r="M200" s="1362">
        <v>36.58529621987693</v>
      </c>
      <c r="N200" s="530">
        <v>37.251163407943466</v>
      </c>
      <c r="O200" s="530">
        <v>47.962427640910441</v>
      </c>
      <c r="P200" s="530">
        <v>40.399749055819868</v>
      </c>
      <c r="Q200" s="530">
        <v>36.824250117286653</v>
      </c>
      <c r="R200" s="530">
        <v>39.765842108031656</v>
      </c>
      <c r="S200" s="530">
        <v>38.875606492533556</v>
      </c>
      <c r="T200" s="530">
        <v>34.006461343473525</v>
      </c>
      <c r="U200" s="530">
        <v>34.569251738689765</v>
      </c>
      <c r="V200" s="530">
        <v>37.757598011187454</v>
      </c>
      <c r="W200" s="530">
        <v>41.491724205207106</v>
      </c>
      <c r="X200" s="530">
        <v>44.31132890862817</v>
      </c>
      <c r="Y200" s="530">
        <v>41.763531190089488</v>
      </c>
      <c r="Z200" s="530">
        <v>41.056750777672583</v>
      </c>
      <c r="AA200" s="530">
        <v>42.758153784417836</v>
      </c>
      <c r="AB200" s="530">
        <v>36.766247816532363</v>
      </c>
      <c r="AC200" s="530">
        <v>30.171777839595883</v>
      </c>
      <c r="AD200" s="530">
        <v>35.649598379684896</v>
      </c>
      <c r="AE200" s="530">
        <v>34.136134920551207</v>
      </c>
      <c r="AF200" s="530">
        <v>32.161431825010666</v>
      </c>
    </row>
    <row r="201" spans="1:32">
      <c r="A201" s="21">
        <v>552</v>
      </c>
      <c r="B201" s="21" t="s">
        <v>117</v>
      </c>
      <c r="C201" s="1363">
        <v>26.523022930331024</v>
      </c>
      <c r="D201" s="1363">
        <v>25.905416987435252</v>
      </c>
      <c r="E201" s="1363">
        <v>22.219708781964652</v>
      </c>
      <c r="F201" s="1363">
        <v>19.473930126533105</v>
      </c>
      <c r="G201" s="1363">
        <v>20.804996470805111</v>
      </c>
      <c r="H201" s="1363">
        <v>22.007901871868928</v>
      </c>
      <c r="I201" s="1363">
        <v>21.520942340856799</v>
      </c>
      <c r="J201" s="1363">
        <v>21.274885891335696</v>
      </c>
      <c r="K201" s="1363">
        <v>20.360003027516218</v>
      </c>
      <c r="L201" s="1363">
        <v>21.720259550588608</v>
      </c>
      <c r="M201" s="1363">
        <v>22.7924066973241</v>
      </c>
      <c r="N201" s="531">
        <v>27.168079738087179</v>
      </c>
      <c r="O201" s="531">
        <v>36.485230008179613</v>
      </c>
      <c r="P201" s="531">
        <v>32.447447957052411</v>
      </c>
      <c r="Q201" s="531">
        <v>36.519525307728792</v>
      </c>
      <c r="R201" s="531">
        <v>40.920449383472985</v>
      </c>
      <c r="S201" s="531">
        <v>35.939547802579611</v>
      </c>
      <c r="T201" s="531">
        <v>44.60979173296105</v>
      </c>
      <c r="U201" s="531">
        <v>45.120956680975361</v>
      </c>
      <c r="V201" s="531">
        <v>33.938186309667614</v>
      </c>
      <c r="W201" s="531">
        <v>36.36118193348738</v>
      </c>
      <c r="X201" s="531">
        <v>33.02792899980831</v>
      </c>
      <c r="Y201" s="531">
        <v>35.254867585454491</v>
      </c>
      <c r="Z201" s="531">
        <v>38.522797150628527</v>
      </c>
      <c r="AA201" s="531">
        <v>42.554690986947058</v>
      </c>
      <c r="AB201" s="531">
        <v>43.803024373144204</v>
      </c>
      <c r="AC201" s="531">
        <v>49.031049441535451</v>
      </c>
      <c r="AD201" s="531">
        <v>48.9178606759695</v>
      </c>
      <c r="AE201" s="531">
        <v>70.766209858659707</v>
      </c>
      <c r="AF201" s="531">
        <v>65.394494517981769</v>
      </c>
    </row>
  </sheetData>
  <sortState ref="A7:U200">
    <sortCondition ref="B7:B20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zoomScaleNormal="100" workbookViewId="0">
      <selection activeCell="L32" sqref="L32"/>
    </sheetView>
  </sheetViews>
  <sheetFormatPr defaultRowHeight="15"/>
  <cols>
    <col min="1" max="2" width="9.140625" style="21"/>
    <col min="3" max="13" width="9.140625" style="534"/>
  </cols>
  <sheetData>
    <row r="1" spans="1:24">
      <c r="A1" s="12" t="s">
        <v>419</v>
      </c>
      <c r="H1" s="534" t="s">
        <v>440</v>
      </c>
      <c r="I1" s="534" t="s">
        <v>440</v>
      </c>
    </row>
    <row r="2" spans="1:24">
      <c r="A2" s="1" t="s">
        <v>417</v>
      </c>
    </row>
    <row r="3" spans="1:24">
      <c r="A3" s="21" t="s">
        <v>420</v>
      </c>
    </row>
    <row r="6" spans="1:24" s="21" customFormat="1">
      <c r="A6" s="21" t="s">
        <v>191</v>
      </c>
      <c r="B6" s="21" t="s">
        <v>192</v>
      </c>
      <c r="C6" s="534">
        <v>1980</v>
      </c>
      <c r="D6" s="534">
        <v>1981</v>
      </c>
      <c r="E6" s="11">
        <v>1982</v>
      </c>
      <c r="F6" s="11">
        <v>1983</v>
      </c>
      <c r="G6" s="534">
        <v>1984</v>
      </c>
      <c r="H6" s="11">
        <v>1985</v>
      </c>
      <c r="I6" s="11">
        <v>1986</v>
      </c>
      <c r="J6" s="534">
        <v>1987</v>
      </c>
      <c r="K6" s="11">
        <v>1988</v>
      </c>
      <c r="L6" s="11">
        <v>1989</v>
      </c>
      <c r="M6" s="534">
        <v>1990</v>
      </c>
      <c r="N6" s="11">
        <v>1991</v>
      </c>
      <c r="O6" s="11">
        <v>1992</v>
      </c>
      <c r="P6" s="11">
        <v>1993</v>
      </c>
      <c r="Q6" s="11">
        <v>1994</v>
      </c>
      <c r="R6" s="11">
        <v>1995</v>
      </c>
      <c r="S6" s="11">
        <v>1996</v>
      </c>
      <c r="T6" s="11">
        <v>1997</v>
      </c>
      <c r="U6" s="11">
        <v>1998</v>
      </c>
      <c r="V6" s="11">
        <v>1999</v>
      </c>
      <c r="W6" s="11">
        <v>2000</v>
      </c>
      <c r="X6" s="11">
        <v>2001</v>
      </c>
    </row>
    <row r="7" spans="1:24">
      <c r="A7" s="21">
        <v>2</v>
      </c>
      <c r="B7" s="21" t="s">
        <v>0</v>
      </c>
      <c r="C7" s="534">
        <v>2</v>
      </c>
      <c r="D7" s="534">
        <v>4</v>
      </c>
      <c r="E7" s="534">
        <v>5</v>
      </c>
      <c r="F7" s="534">
        <v>7</v>
      </c>
      <c r="G7" s="534">
        <v>2</v>
      </c>
      <c r="H7" s="534">
        <v>4</v>
      </c>
      <c r="I7" s="534">
        <v>3</v>
      </c>
      <c r="J7" s="534">
        <v>4</v>
      </c>
      <c r="K7" s="534">
        <v>2</v>
      </c>
      <c r="L7" s="534">
        <v>3</v>
      </c>
      <c r="M7" s="534">
        <v>1</v>
      </c>
      <c r="N7">
        <v>3</v>
      </c>
      <c r="O7">
        <v>3</v>
      </c>
      <c r="P7">
        <v>3</v>
      </c>
      <c r="Q7">
        <v>4</v>
      </c>
      <c r="R7">
        <v>0</v>
      </c>
      <c r="S7">
        <v>4</v>
      </c>
      <c r="T7">
        <v>4</v>
      </c>
      <c r="U7">
        <v>3</v>
      </c>
      <c r="V7">
        <v>2</v>
      </c>
      <c r="W7">
        <v>7</v>
      </c>
      <c r="X7">
        <v>3</v>
      </c>
    </row>
    <row r="8" spans="1:24">
      <c r="A8" s="21">
        <v>20</v>
      </c>
      <c r="B8" s="21" t="s">
        <v>1</v>
      </c>
      <c r="C8" s="534">
        <v>1</v>
      </c>
      <c r="D8" s="534">
        <v>0</v>
      </c>
      <c r="E8" s="534">
        <v>0</v>
      </c>
      <c r="F8" s="534">
        <v>0</v>
      </c>
      <c r="G8" s="534">
        <v>0</v>
      </c>
      <c r="H8" s="534">
        <v>0</v>
      </c>
      <c r="I8" s="534">
        <v>0</v>
      </c>
      <c r="J8" s="534">
        <v>1</v>
      </c>
      <c r="K8" s="534">
        <v>1</v>
      </c>
      <c r="L8" s="534">
        <v>1</v>
      </c>
      <c r="M8" s="534">
        <v>0</v>
      </c>
      <c r="N8">
        <v>1</v>
      </c>
      <c r="O8">
        <v>1</v>
      </c>
      <c r="P8">
        <v>1</v>
      </c>
      <c r="Q8">
        <v>0</v>
      </c>
      <c r="R8">
        <v>1</v>
      </c>
      <c r="S8">
        <v>0</v>
      </c>
      <c r="T8">
        <v>1</v>
      </c>
      <c r="U8">
        <v>0</v>
      </c>
      <c r="V8">
        <v>1</v>
      </c>
      <c r="W8">
        <v>4</v>
      </c>
      <c r="X8">
        <v>0</v>
      </c>
    </row>
    <row r="9" spans="1:24">
      <c r="A9" s="21">
        <v>31</v>
      </c>
      <c r="B9" s="21" t="s">
        <v>2</v>
      </c>
      <c r="C9" s="534">
        <v>0</v>
      </c>
      <c r="D9" s="534">
        <v>0</v>
      </c>
      <c r="E9" s="534">
        <v>0</v>
      </c>
      <c r="F9" s="534">
        <v>0</v>
      </c>
      <c r="G9" s="534">
        <v>1</v>
      </c>
      <c r="H9" s="534">
        <v>0</v>
      </c>
      <c r="I9" s="534">
        <v>0</v>
      </c>
      <c r="J9" s="534">
        <v>0</v>
      </c>
      <c r="K9" s="534">
        <v>0</v>
      </c>
      <c r="L9" s="534">
        <v>0</v>
      </c>
      <c r="M9" s="534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>
      <c r="A10" s="21">
        <v>40</v>
      </c>
      <c r="B10" s="21" t="s">
        <v>3</v>
      </c>
      <c r="C10" s="534">
        <v>1</v>
      </c>
      <c r="D10" s="534">
        <v>1</v>
      </c>
      <c r="E10" s="534">
        <v>0</v>
      </c>
      <c r="F10" s="534">
        <v>1</v>
      </c>
      <c r="G10" s="534">
        <v>0</v>
      </c>
      <c r="H10" s="534">
        <v>0</v>
      </c>
      <c r="I10" s="534">
        <v>0</v>
      </c>
      <c r="J10" s="534">
        <v>1</v>
      </c>
      <c r="K10" s="534">
        <v>0</v>
      </c>
      <c r="L10" s="534">
        <v>0</v>
      </c>
      <c r="M10" s="534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>
      <c r="A11" s="21">
        <v>41</v>
      </c>
      <c r="B11" s="21" t="s">
        <v>4</v>
      </c>
      <c r="C11" s="534">
        <v>0</v>
      </c>
      <c r="D11" s="534">
        <v>0</v>
      </c>
      <c r="E11" s="534">
        <v>0</v>
      </c>
      <c r="F11" s="534">
        <v>0</v>
      </c>
      <c r="G11" s="534">
        <v>0</v>
      </c>
      <c r="H11" s="534">
        <v>0</v>
      </c>
      <c r="I11" s="534">
        <v>1</v>
      </c>
      <c r="J11" s="534">
        <v>1</v>
      </c>
      <c r="K11" s="534">
        <v>0</v>
      </c>
      <c r="L11" s="534">
        <v>0</v>
      </c>
      <c r="M11" s="534">
        <v>0</v>
      </c>
      <c r="N11">
        <v>0</v>
      </c>
      <c r="O11">
        <v>0</v>
      </c>
      <c r="P11">
        <v>4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>
      <c r="A12" s="21">
        <v>42</v>
      </c>
      <c r="B12" s="21" t="s">
        <v>5</v>
      </c>
      <c r="C12" s="534">
        <v>0</v>
      </c>
      <c r="D12" s="534">
        <v>0</v>
      </c>
      <c r="E12" s="534">
        <v>0</v>
      </c>
      <c r="F12" s="534">
        <v>0</v>
      </c>
      <c r="G12" s="534">
        <v>0</v>
      </c>
      <c r="H12" s="534">
        <v>0</v>
      </c>
      <c r="I12" s="534">
        <v>1</v>
      </c>
      <c r="J12" s="534">
        <v>1</v>
      </c>
      <c r="K12" s="534">
        <v>0</v>
      </c>
      <c r="L12" s="534">
        <v>0</v>
      </c>
      <c r="M12" s="534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>
      <c r="A13" s="21">
        <v>51</v>
      </c>
      <c r="B13" s="21" t="s">
        <v>6</v>
      </c>
      <c r="C13" s="534">
        <v>0</v>
      </c>
      <c r="D13" s="534">
        <v>0</v>
      </c>
      <c r="E13" s="534">
        <v>0</v>
      </c>
      <c r="F13" s="534">
        <v>0</v>
      </c>
      <c r="G13" s="534">
        <v>0</v>
      </c>
      <c r="H13" s="534">
        <v>0</v>
      </c>
      <c r="I13" s="534">
        <v>0</v>
      </c>
      <c r="J13" s="534">
        <v>0</v>
      </c>
      <c r="K13" s="534">
        <v>0</v>
      </c>
      <c r="L13" s="534">
        <v>0</v>
      </c>
      <c r="M13" s="534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>
      <c r="A14" s="21">
        <v>52</v>
      </c>
      <c r="B14" s="21" t="s">
        <v>7</v>
      </c>
      <c r="C14" s="534">
        <v>0</v>
      </c>
      <c r="D14" s="534">
        <v>0</v>
      </c>
      <c r="E14" s="534">
        <v>0</v>
      </c>
      <c r="F14" s="534">
        <v>0</v>
      </c>
      <c r="G14" s="534">
        <v>0</v>
      </c>
      <c r="H14" s="534">
        <v>0</v>
      </c>
      <c r="I14" s="534">
        <v>0</v>
      </c>
      <c r="J14" s="534">
        <v>0</v>
      </c>
      <c r="K14" s="534">
        <v>0</v>
      </c>
      <c r="L14" s="534">
        <v>0</v>
      </c>
      <c r="M14" s="53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1</v>
      </c>
      <c r="U14">
        <v>0</v>
      </c>
      <c r="V14">
        <v>1</v>
      </c>
      <c r="W14">
        <v>0</v>
      </c>
      <c r="X14">
        <v>0</v>
      </c>
    </row>
    <row r="15" spans="1:24">
      <c r="A15" s="21">
        <v>53</v>
      </c>
      <c r="B15" s="21" t="s">
        <v>8</v>
      </c>
      <c r="C15" s="534">
        <v>0</v>
      </c>
      <c r="D15" s="534">
        <v>0</v>
      </c>
      <c r="E15" s="534">
        <v>0</v>
      </c>
      <c r="F15" s="534">
        <v>0</v>
      </c>
      <c r="G15" s="534">
        <v>0</v>
      </c>
      <c r="H15" s="534">
        <v>0</v>
      </c>
      <c r="I15" s="534">
        <v>0</v>
      </c>
      <c r="J15" s="534">
        <v>0</v>
      </c>
      <c r="K15" s="534">
        <v>0</v>
      </c>
      <c r="L15" s="534">
        <v>0</v>
      </c>
      <c r="M15" s="534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>
      <c r="A16" s="21">
        <v>54</v>
      </c>
      <c r="B16" s="21" t="s">
        <v>9</v>
      </c>
      <c r="C16" s="534">
        <v>0</v>
      </c>
      <c r="D16" s="534">
        <v>0</v>
      </c>
      <c r="E16" s="534">
        <v>0</v>
      </c>
      <c r="F16" s="534">
        <v>0</v>
      </c>
      <c r="G16" s="534">
        <v>0</v>
      </c>
      <c r="H16" s="534">
        <v>0</v>
      </c>
      <c r="I16" s="534">
        <v>0</v>
      </c>
      <c r="J16" s="534">
        <v>0</v>
      </c>
      <c r="K16" s="534">
        <v>0</v>
      </c>
      <c r="L16" s="534">
        <v>0</v>
      </c>
      <c r="M16" s="534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>
      <c r="A17" s="21">
        <v>55</v>
      </c>
      <c r="B17" s="21" t="s">
        <v>10</v>
      </c>
      <c r="C17" s="534">
        <v>0</v>
      </c>
      <c r="D17" s="534">
        <v>0</v>
      </c>
      <c r="E17" s="534">
        <v>0</v>
      </c>
      <c r="F17" s="534">
        <v>1</v>
      </c>
      <c r="G17" s="534">
        <v>0</v>
      </c>
      <c r="H17" s="534">
        <v>0</v>
      </c>
      <c r="I17" s="534">
        <v>0</v>
      </c>
      <c r="J17" s="534">
        <v>0</v>
      </c>
      <c r="K17" s="534">
        <v>0</v>
      </c>
      <c r="L17" s="534">
        <v>0</v>
      </c>
      <c r="M17" s="534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>
      <c r="A18" s="21">
        <v>56</v>
      </c>
      <c r="B18" s="21" t="s">
        <v>11</v>
      </c>
      <c r="C18" s="534">
        <v>0</v>
      </c>
      <c r="D18" s="534">
        <v>0</v>
      </c>
      <c r="E18" s="534">
        <v>0</v>
      </c>
      <c r="F18" s="534">
        <v>0</v>
      </c>
      <c r="G18" s="534">
        <v>0</v>
      </c>
      <c r="H18" s="534">
        <v>0</v>
      </c>
      <c r="I18" s="534">
        <v>0</v>
      </c>
      <c r="J18" s="534">
        <v>0</v>
      </c>
      <c r="K18" s="534">
        <v>0</v>
      </c>
      <c r="L18" s="534">
        <v>0</v>
      </c>
      <c r="M18" s="534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>
      <c r="A19" s="21">
        <v>57</v>
      </c>
      <c r="B19" s="21" t="s">
        <v>12</v>
      </c>
      <c r="C19" s="534">
        <v>0</v>
      </c>
      <c r="D19" s="534">
        <v>0</v>
      </c>
      <c r="E19" s="534">
        <v>0</v>
      </c>
      <c r="F19" s="534">
        <v>0</v>
      </c>
      <c r="G19" s="534">
        <v>0</v>
      </c>
      <c r="H19" s="534">
        <v>0</v>
      </c>
      <c r="I19" s="534">
        <v>0</v>
      </c>
      <c r="J19" s="534">
        <v>0</v>
      </c>
      <c r="K19" s="534">
        <v>0</v>
      </c>
      <c r="L19" s="534">
        <v>0</v>
      </c>
      <c r="M19" s="534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>
      <c r="A20" s="21">
        <v>58</v>
      </c>
      <c r="B20" s="21" t="s">
        <v>13</v>
      </c>
      <c r="C20" s="534">
        <v>0</v>
      </c>
      <c r="D20" s="534">
        <v>0</v>
      </c>
      <c r="E20" s="534">
        <v>0</v>
      </c>
      <c r="F20" s="534">
        <v>0</v>
      </c>
      <c r="G20" s="534">
        <v>0</v>
      </c>
      <c r="H20" s="534">
        <v>0</v>
      </c>
      <c r="I20" s="534">
        <v>0</v>
      </c>
      <c r="J20" s="534">
        <v>0</v>
      </c>
      <c r="K20" s="534">
        <v>0</v>
      </c>
      <c r="L20" s="534">
        <v>0</v>
      </c>
      <c r="M20" s="534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>
      <c r="A21" s="21">
        <v>60</v>
      </c>
      <c r="B21" s="21" t="s">
        <v>14</v>
      </c>
      <c r="C21" s="534">
        <v>0</v>
      </c>
      <c r="D21" s="534">
        <v>0</v>
      </c>
      <c r="E21" s="534">
        <v>0</v>
      </c>
      <c r="F21" s="534">
        <v>0</v>
      </c>
      <c r="G21" s="534">
        <v>0</v>
      </c>
      <c r="H21" s="534">
        <v>0</v>
      </c>
      <c r="I21" s="534">
        <v>0</v>
      </c>
      <c r="J21" s="534">
        <v>0</v>
      </c>
      <c r="K21" s="534">
        <v>0</v>
      </c>
      <c r="L21" s="534">
        <v>0</v>
      </c>
      <c r="M21" s="534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>
      <c r="A22" s="21">
        <v>70</v>
      </c>
      <c r="B22" s="21" t="s">
        <v>15</v>
      </c>
      <c r="C22" s="534">
        <v>0</v>
      </c>
      <c r="D22" s="534">
        <v>0</v>
      </c>
      <c r="E22" s="534">
        <v>1</v>
      </c>
      <c r="F22" s="534">
        <v>0</v>
      </c>
      <c r="G22" s="534">
        <v>1</v>
      </c>
      <c r="H22" s="534">
        <v>0</v>
      </c>
      <c r="I22" s="534">
        <v>0</v>
      </c>
      <c r="J22" s="534">
        <v>0</v>
      </c>
      <c r="K22" s="534">
        <v>0</v>
      </c>
      <c r="L22" s="534">
        <v>0</v>
      </c>
      <c r="M22" s="534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>
      <c r="A23" s="21">
        <v>80</v>
      </c>
      <c r="B23" s="21" t="s">
        <v>16</v>
      </c>
      <c r="C23" s="534">
        <v>0</v>
      </c>
      <c r="D23" s="534">
        <v>0</v>
      </c>
      <c r="E23" s="534">
        <v>0</v>
      </c>
      <c r="F23" s="534">
        <v>0</v>
      </c>
      <c r="G23" s="534">
        <v>0</v>
      </c>
      <c r="H23" s="534">
        <v>0</v>
      </c>
      <c r="I23" s="534">
        <v>0</v>
      </c>
      <c r="J23" s="534">
        <v>0</v>
      </c>
      <c r="K23" s="534">
        <v>0</v>
      </c>
      <c r="L23" s="534">
        <v>0</v>
      </c>
      <c r="M23" s="534">
        <v>0</v>
      </c>
      <c r="N23">
        <v>0</v>
      </c>
      <c r="O23">
        <v>0</v>
      </c>
      <c r="P23">
        <v>1</v>
      </c>
      <c r="Q23">
        <v>0</v>
      </c>
      <c r="R23">
        <v>1</v>
      </c>
      <c r="S23">
        <v>0</v>
      </c>
      <c r="T23">
        <v>1</v>
      </c>
      <c r="U23">
        <v>0</v>
      </c>
      <c r="V23">
        <v>0</v>
      </c>
      <c r="W23">
        <v>2</v>
      </c>
      <c r="X23">
        <v>0</v>
      </c>
    </row>
    <row r="24" spans="1:24">
      <c r="A24" s="21">
        <v>90</v>
      </c>
      <c r="B24" s="21" t="s">
        <v>17</v>
      </c>
      <c r="C24" s="534">
        <v>0</v>
      </c>
      <c r="D24" s="534">
        <v>0</v>
      </c>
      <c r="E24" s="534">
        <v>1</v>
      </c>
      <c r="F24" s="534">
        <v>0</v>
      </c>
      <c r="G24" s="534">
        <v>1</v>
      </c>
      <c r="H24" s="534">
        <v>0</v>
      </c>
      <c r="I24" s="534">
        <v>0</v>
      </c>
      <c r="J24" s="534">
        <v>0</v>
      </c>
      <c r="K24" s="534">
        <v>0</v>
      </c>
      <c r="L24" s="534">
        <v>0</v>
      </c>
      <c r="M24" s="534">
        <v>0</v>
      </c>
      <c r="N24">
        <v>0</v>
      </c>
      <c r="O24">
        <v>0</v>
      </c>
      <c r="P24">
        <v>1</v>
      </c>
      <c r="Q24">
        <v>0</v>
      </c>
      <c r="R24">
        <v>1</v>
      </c>
      <c r="S24">
        <v>0</v>
      </c>
      <c r="T24">
        <v>1</v>
      </c>
      <c r="U24">
        <v>0</v>
      </c>
      <c r="V24">
        <v>0</v>
      </c>
      <c r="W24">
        <v>2</v>
      </c>
      <c r="X24">
        <v>0</v>
      </c>
    </row>
    <row r="25" spans="1:24">
      <c r="A25" s="21">
        <v>91</v>
      </c>
      <c r="B25" s="21" t="s">
        <v>18</v>
      </c>
      <c r="C25" s="534">
        <v>0</v>
      </c>
      <c r="D25" s="534">
        <v>1</v>
      </c>
      <c r="E25" s="534">
        <v>0</v>
      </c>
      <c r="F25" s="534">
        <v>0</v>
      </c>
      <c r="G25" s="534">
        <v>1</v>
      </c>
      <c r="H25" s="534">
        <v>1</v>
      </c>
      <c r="I25" s="534">
        <v>0</v>
      </c>
      <c r="J25" s="534">
        <v>1</v>
      </c>
      <c r="K25" s="534">
        <v>2</v>
      </c>
      <c r="L25" s="534">
        <v>0</v>
      </c>
      <c r="M25" s="534">
        <v>0</v>
      </c>
      <c r="N25">
        <v>1</v>
      </c>
      <c r="O25">
        <v>0</v>
      </c>
      <c r="P25">
        <v>1</v>
      </c>
      <c r="Q25">
        <v>0</v>
      </c>
      <c r="R25">
        <v>2</v>
      </c>
      <c r="S25">
        <v>0</v>
      </c>
      <c r="T25">
        <v>1</v>
      </c>
      <c r="U25">
        <v>0</v>
      </c>
      <c r="V25">
        <v>1</v>
      </c>
      <c r="W25">
        <v>1</v>
      </c>
      <c r="X25">
        <v>2</v>
      </c>
    </row>
    <row r="26" spans="1:24">
      <c r="A26" s="21">
        <v>92</v>
      </c>
      <c r="B26" s="21" t="s">
        <v>19</v>
      </c>
      <c r="C26" s="534">
        <v>0</v>
      </c>
      <c r="D26" s="534">
        <v>0</v>
      </c>
      <c r="E26" s="534">
        <v>0</v>
      </c>
      <c r="F26" s="534">
        <v>0</v>
      </c>
      <c r="G26" s="534">
        <v>0</v>
      </c>
      <c r="H26" s="534">
        <v>1</v>
      </c>
      <c r="I26" s="534">
        <v>0</v>
      </c>
      <c r="J26" s="534">
        <v>0</v>
      </c>
      <c r="K26" s="534">
        <v>0</v>
      </c>
      <c r="L26" s="534">
        <v>1</v>
      </c>
      <c r="M26" s="534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</row>
    <row r="27" spans="1:24">
      <c r="A27" s="21">
        <v>93</v>
      </c>
      <c r="B27" s="21" t="s">
        <v>20</v>
      </c>
      <c r="C27" s="534">
        <v>1</v>
      </c>
      <c r="D27" s="534">
        <v>1</v>
      </c>
      <c r="E27" s="534">
        <v>1</v>
      </c>
      <c r="F27" s="534">
        <v>1</v>
      </c>
      <c r="G27" s="534">
        <v>0</v>
      </c>
      <c r="H27" s="534">
        <v>1</v>
      </c>
      <c r="I27" s="534">
        <v>2</v>
      </c>
      <c r="J27" s="534">
        <v>1</v>
      </c>
      <c r="K27" s="534">
        <v>1</v>
      </c>
      <c r="L27" s="534">
        <v>1</v>
      </c>
      <c r="M27" s="534">
        <v>0</v>
      </c>
      <c r="N27">
        <v>1</v>
      </c>
      <c r="O27">
        <v>0</v>
      </c>
      <c r="P27">
        <v>0</v>
      </c>
      <c r="Q27">
        <v>1</v>
      </c>
      <c r="R27">
        <v>3</v>
      </c>
      <c r="S27">
        <v>0</v>
      </c>
      <c r="T27">
        <v>2</v>
      </c>
      <c r="U27">
        <v>1</v>
      </c>
      <c r="V27">
        <v>1</v>
      </c>
      <c r="W27">
        <v>1</v>
      </c>
      <c r="X27">
        <v>3</v>
      </c>
    </row>
    <row r="28" spans="1:24">
      <c r="A28" s="21">
        <v>94</v>
      </c>
      <c r="B28" s="21" t="s">
        <v>21</v>
      </c>
      <c r="C28" s="534">
        <v>0</v>
      </c>
      <c r="D28" s="534">
        <v>0</v>
      </c>
      <c r="E28" s="534">
        <v>0</v>
      </c>
      <c r="F28" s="534">
        <v>1</v>
      </c>
      <c r="G28" s="534">
        <v>0</v>
      </c>
      <c r="H28" s="534">
        <v>1</v>
      </c>
      <c r="I28" s="534">
        <v>1</v>
      </c>
      <c r="J28" s="534">
        <v>1</v>
      </c>
      <c r="K28" s="534">
        <v>1</v>
      </c>
      <c r="L28" s="534">
        <v>0</v>
      </c>
      <c r="M28" s="534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</row>
    <row r="29" spans="1:24">
      <c r="A29" s="21">
        <v>95</v>
      </c>
      <c r="B29" s="21" t="s">
        <v>22</v>
      </c>
      <c r="C29" s="534">
        <v>0</v>
      </c>
      <c r="D29" s="534">
        <v>0</v>
      </c>
      <c r="E29" s="534">
        <v>0</v>
      </c>
      <c r="F29" s="534">
        <v>0</v>
      </c>
      <c r="G29" s="534">
        <v>1</v>
      </c>
      <c r="H29" s="534">
        <v>1</v>
      </c>
      <c r="I29" s="534">
        <v>0</v>
      </c>
      <c r="J29" s="534">
        <v>3</v>
      </c>
      <c r="K29" s="534">
        <v>2</v>
      </c>
      <c r="L29" s="534">
        <v>1</v>
      </c>
      <c r="M29" s="534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>
      <c r="A30" s="21">
        <v>100</v>
      </c>
      <c r="B30" s="21" t="s">
        <v>23</v>
      </c>
      <c r="C30" s="534">
        <v>1</v>
      </c>
      <c r="D30" s="534">
        <v>0</v>
      </c>
      <c r="E30" s="534">
        <v>1</v>
      </c>
      <c r="F30" s="534">
        <v>0</v>
      </c>
      <c r="G30" s="534">
        <v>0</v>
      </c>
      <c r="H30" s="534">
        <v>0</v>
      </c>
      <c r="I30" s="534">
        <v>1</v>
      </c>
      <c r="J30" s="534">
        <v>1</v>
      </c>
      <c r="K30" s="534">
        <v>1</v>
      </c>
      <c r="L30" s="534">
        <v>0</v>
      </c>
      <c r="M30" s="534">
        <v>0</v>
      </c>
      <c r="N30">
        <v>0</v>
      </c>
      <c r="O30">
        <v>0</v>
      </c>
      <c r="P30">
        <v>0</v>
      </c>
      <c r="Q30">
        <v>2</v>
      </c>
      <c r="R30">
        <v>1</v>
      </c>
      <c r="S30">
        <v>0</v>
      </c>
      <c r="T30">
        <v>1</v>
      </c>
      <c r="U30">
        <v>0</v>
      </c>
      <c r="V30">
        <v>0</v>
      </c>
      <c r="W30">
        <v>1</v>
      </c>
      <c r="X30">
        <v>1</v>
      </c>
    </row>
    <row r="31" spans="1:24">
      <c r="A31" s="21">
        <v>101</v>
      </c>
      <c r="B31" s="21" t="s">
        <v>24</v>
      </c>
      <c r="C31" s="534">
        <v>0</v>
      </c>
      <c r="D31" s="534">
        <v>1</v>
      </c>
      <c r="E31" s="534">
        <v>2</v>
      </c>
      <c r="F31" s="534">
        <v>0</v>
      </c>
      <c r="G31" s="534">
        <v>0</v>
      </c>
      <c r="H31" s="534">
        <v>0</v>
      </c>
      <c r="I31" s="534">
        <v>1</v>
      </c>
      <c r="J31" s="534">
        <v>1</v>
      </c>
      <c r="K31" s="534">
        <v>1</v>
      </c>
      <c r="L31" s="534">
        <v>0</v>
      </c>
      <c r="M31" s="534">
        <v>0</v>
      </c>
      <c r="N31">
        <v>0</v>
      </c>
      <c r="O31">
        <v>0</v>
      </c>
      <c r="P31">
        <v>0</v>
      </c>
      <c r="Q31">
        <v>1</v>
      </c>
      <c r="R31">
        <v>1</v>
      </c>
      <c r="S31">
        <v>1</v>
      </c>
      <c r="T31">
        <v>2</v>
      </c>
      <c r="U31">
        <v>0</v>
      </c>
      <c r="V31">
        <v>2</v>
      </c>
      <c r="W31">
        <v>2</v>
      </c>
      <c r="X31">
        <v>0</v>
      </c>
    </row>
    <row r="32" spans="1:24">
      <c r="A32" s="21">
        <v>110</v>
      </c>
      <c r="B32" s="21" t="s">
        <v>25</v>
      </c>
      <c r="C32" s="534">
        <v>0</v>
      </c>
      <c r="D32" s="534">
        <v>1</v>
      </c>
      <c r="E32" s="534">
        <v>1</v>
      </c>
      <c r="F32" s="534">
        <v>0</v>
      </c>
      <c r="G32" s="534">
        <v>0</v>
      </c>
      <c r="H32" s="534">
        <v>0</v>
      </c>
      <c r="I32" s="534">
        <v>0</v>
      </c>
      <c r="J32" s="534">
        <v>0</v>
      </c>
      <c r="K32" s="534">
        <v>0</v>
      </c>
      <c r="L32" s="534">
        <v>0</v>
      </c>
      <c r="M32" s="534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2</v>
      </c>
      <c r="X32">
        <v>0</v>
      </c>
    </row>
    <row r="33" spans="1:24">
      <c r="A33" s="21">
        <v>115</v>
      </c>
      <c r="B33" s="21" t="s">
        <v>26</v>
      </c>
      <c r="C33" s="534">
        <v>0</v>
      </c>
      <c r="D33" s="534">
        <v>0</v>
      </c>
      <c r="E33" s="534">
        <v>0</v>
      </c>
      <c r="F33" s="534">
        <v>0</v>
      </c>
      <c r="G33" s="534">
        <v>0</v>
      </c>
      <c r="H33" s="534">
        <v>0</v>
      </c>
      <c r="I33" s="534">
        <v>0</v>
      </c>
      <c r="J33" s="534">
        <v>0</v>
      </c>
      <c r="K33" s="534">
        <v>0</v>
      </c>
      <c r="L33" s="534">
        <v>0</v>
      </c>
      <c r="M33" s="534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2</v>
      </c>
      <c r="X33">
        <v>0</v>
      </c>
    </row>
    <row r="34" spans="1:24">
      <c r="A34" s="21">
        <v>130</v>
      </c>
      <c r="B34" s="21" t="s">
        <v>27</v>
      </c>
      <c r="C34" s="534">
        <v>1</v>
      </c>
      <c r="D34" s="534">
        <v>1</v>
      </c>
      <c r="E34" s="534">
        <v>0</v>
      </c>
      <c r="F34" s="534">
        <v>0</v>
      </c>
      <c r="G34" s="534">
        <v>1</v>
      </c>
      <c r="H34" s="534">
        <v>0</v>
      </c>
      <c r="I34" s="534">
        <v>0</v>
      </c>
      <c r="J34" s="534">
        <v>0</v>
      </c>
      <c r="K34" s="534">
        <v>0</v>
      </c>
      <c r="L34" s="534">
        <v>0</v>
      </c>
      <c r="M34" s="534">
        <v>0</v>
      </c>
      <c r="N34">
        <v>1</v>
      </c>
      <c r="O34">
        <v>0</v>
      </c>
      <c r="P34">
        <v>0</v>
      </c>
      <c r="Q34">
        <v>0</v>
      </c>
      <c r="R34">
        <v>2</v>
      </c>
      <c r="S34">
        <v>0</v>
      </c>
      <c r="T34">
        <v>1</v>
      </c>
      <c r="U34">
        <v>1</v>
      </c>
      <c r="V34">
        <v>0</v>
      </c>
      <c r="W34">
        <v>0</v>
      </c>
      <c r="X34">
        <v>0</v>
      </c>
    </row>
    <row r="35" spans="1:24">
      <c r="A35" s="21">
        <v>135</v>
      </c>
      <c r="B35" s="21" t="s">
        <v>28</v>
      </c>
      <c r="C35" s="534">
        <v>0</v>
      </c>
      <c r="D35" s="534">
        <v>1</v>
      </c>
      <c r="E35" s="534">
        <v>0</v>
      </c>
      <c r="F35" s="534">
        <v>0</v>
      </c>
      <c r="G35" s="534">
        <v>1</v>
      </c>
      <c r="H35" s="534">
        <v>0</v>
      </c>
      <c r="I35" s="534">
        <v>0</v>
      </c>
      <c r="J35" s="534">
        <v>0</v>
      </c>
      <c r="K35" s="534">
        <v>0</v>
      </c>
      <c r="L35" s="534">
        <v>0</v>
      </c>
      <c r="M35" s="534">
        <v>0</v>
      </c>
      <c r="N35">
        <v>1</v>
      </c>
      <c r="O35">
        <v>1</v>
      </c>
      <c r="P35">
        <v>0</v>
      </c>
      <c r="Q35">
        <v>0</v>
      </c>
      <c r="R35">
        <v>2</v>
      </c>
      <c r="S35">
        <v>0</v>
      </c>
      <c r="T35">
        <v>1</v>
      </c>
      <c r="U35">
        <v>1</v>
      </c>
      <c r="V35">
        <v>0</v>
      </c>
      <c r="W35">
        <v>0</v>
      </c>
      <c r="X35">
        <v>0</v>
      </c>
    </row>
    <row r="36" spans="1:24">
      <c r="A36" s="21">
        <v>140</v>
      </c>
      <c r="B36" s="21" t="s">
        <v>29</v>
      </c>
      <c r="C36" s="534">
        <v>0</v>
      </c>
      <c r="D36" s="534">
        <v>0</v>
      </c>
      <c r="E36" s="534">
        <v>0</v>
      </c>
      <c r="F36" s="534">
        <v>2</v>
      </c>
      <c r="G36" s="534">
        <v>0</v>
      </c>
      <c r="H36" s="534">
        <v>0</v>
      </c>
      <c r="I36" s="534">
        <v>0</v>
      </c>
      <c r="J36" s="534">
        <v>0</v>
      </c>
      <c r="K36" s="534">
        <v>0</v>
      </c>
      <c r="L36" s="534">
        <v>0</v>
      </c>
      <c r="M36" s="534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</row>
    <row r="37" spans="1:24">
      <c r="A37" s="21">
        <v>145</v>
      </c>
      <c r="B37" s="21" t="s">
        <v>30</v>
      </c>
      <c r="C37" s="534">
        <v>0</v>
      </c>
      <c r="D37" s="534">
        <v>0</v>
      </c>
      <c r="E37" s="534">
        <v>0</v>
      </c>
      <c r="F37" s="534">
        <v>0</v>
      </c>
      <c r="G37" s="534">
        <v>0</v>
      </c>
      <c r="H37" s="534">
        <v>0</v>
      </c>
      <c r="I37" s="534">
        <v>0</v>
      </c>
      <c r="J37" s="534">
        <v>0</v>
      </c>
      <c r="K37" s="534">
        <v>0</v>
      </c>
      <c r="L37" s="534">
        <v>0</v>
      </c>
      <c r="M37" s="534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>
      <c r="A38" s="21">
        <v>150</v>
      </c>
      <c r="B38" s="21" t="s">
        <v>31</v>
      </c>
      <c r="C38" s="534">
        <v>0</v>
      </c>
      <c r="D38" s="534">
        <v>0</v>
      </c>
      <c r="E38" s="534">
        <v>0</v>
      </c>
      <c r="F38" s="534">
        <v>0</v>
      </c>
      <c r="G38" s="534">
        <v>0</v>
      </c>
      <c r="H38" s="534">
        <v>0</v>
      </c>
      <c r="I38" s="534">
        <v>0</v>
      </c>
      <c r="J38" s="534">
        <v>0</v>
      </c>
      <c r="K38" s="534">
        <v>0</v>
      </c>
      <c r="L38" s="534">
        <v>0</v>
      </c>
      <c r="M38" s="534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>
      <c r="A39" s="21">
        <v>155</v>
      </c>
      <c r="B39" s="21" t="s">
        <v>32</v>
      </c>
      <c r="C39" s="534">
        <v>1</v>
      </c>
      <c r="D39" s="534">
        <v>1</v>
      </c>
      <c r="E39" s="534">
        <v>0</v>
      </c>
      <c r="F39" s="534">
        <v>1</v>
      </c>
      <c r="G39" s="534">
        <v>1</v>
      </c>
      <c r="H39" s="534">
        <v>0</v>
      </c>
      <c r="I39" s="534">
        <v>0</v>
      </c>
      <c r="J39" s="534">
        <v>0</v>
      </c>
      <c r="K39" s="534">
        <v>0</v>
      </c>
      <c r="L39" s="534">
        <v>0</v>
      </c>
      <c r="M39" s="534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>
      <c r="A40" s="21">
        <v>160</v>
      </c>
      <c r="B40" s="21" t="s">
        <v>33</v>
      </c>
      <c r="C40" s="534">
        <v>1</v>
      </c>
      <c r="D40" s="534">
        <v>1</v>
      </c>
      <c r="E40" s="534">
        <v>1</v>
      </c>
      <c r="F40" s="534">
        <v>3</v>
      </c>
      <c r="G40" s="534">
        <v>1</v>
      </c>
      <c r="H40" s="534">
        <v>0</v>
      </c>
      <c r="I40" s="534">
        <v>1</v>
      </c>
      <c r="J40" s="534">
        <v>1</v>
      </c>
      <c r="K40" s="534">
        <v>0</v>
      </c>
      <c r="L40" s="534">
        <v>0</v>
      </c>
      <c r="M40" s="534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0</v>
      </c>
    </row>
    <row r="41" spans="1:24">
      <c r="A41" s="21">
        <v>165</v>
      </c>
      <c r="B41" s="21" t="s">
        <v>34</v>
      </c>
      <c r="C41" s="534">
        <v>0</v>
      </c>
      <c r="D41" s="534">
        <v>0</v>
      </c>
      <c r="E41" s="534">
        <v>0</v>
      </c>
      <c r="F41" s="534">
        <v>0</v>
      </c>
      <c r="G41" s="534">
        <v>0</v>
      </c>
      <c r="H41" s="534">
        <v>0</v>
      </c>
      <c r="I41" s="534">
        <v>0</v>
      </c>
      <c r="J41" s="534">
        <v>0</v>
      </c>
      <c r="K41" s="534">
        <v>0</v>
      </c>
      <c r="L41" s="534">
        <v>0</v>
      </c>
      <c r="M41" s="534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</row>
    <row r="42" spans="1:24">
      <c r="A42" s="21">
        <v>200</v>
      </c>
      <c r="B42" s="21" t="s">
        <v>35</v>
      </c>
      <c r="C42" s="534">
        <v>1</v>
      </c>
      <c r="D42" s="534">
        <v>0</v>
      </c>
      <c r="E42" s="534">
        <v>1</v>
      </c>
      <c r="F42" s="534">
        <v>1</v>
      </c>
      <c r="G42" s="534">
        <v>2</v>
      </c>
      <c r="H42" s="534">
        <v>1</v>
      </c>
      <c r="I42" s="534">
        <v>2</v>
      </c>
      <c r="J42" s="534">
        <v>0</v>
      </c>
      <c r="K42" s="534">
        <v>1</v>
      </c>
      <c r="L42" s="534">
        <v>0</v>
      </c>
      <c r="M42" s="534">
        <v>0</v>
      </c>
      <c r="N42">
        <v>0</v>
      </c>
      <c r="O42">
        <v>1</v>
      </c>
      <c r="P42">
        <v>0</v>
      </c>
      <c r="Q42">
        <v>0</v>
      </c>
      <c r="R42">
        <v>0</v>
      </c>
      <c r="S42">
        <v>1</v>
      </c>
      <c r="T42">
        <v>0</v>
      </c>
      <c r="U42">
        <v>0</v>
      </c>
      <c r="V42">
        <v>2</v>
      </c>
      <c r="W42">
        <v>3</v>
      </c>
      <c r="X42">
        <v>1</v>
      </c>
    </row>
    <row r="43" spans="1:24">
      <c r="A43" s="21">
        <v>205</v>
      </c>
      <c r="B43" s="21" t="s">
        <v>36</v>
      </c>
      <c r="C43" s="534">
        <v>0</v>
      </c>
      <c r="D43" s="534">
        <v>0</v>
      </c>
      <c r="E43" s="534">
        <v>0</v>
      </c>
      <c r="F43" s="534">
        <v>0</v>
      </c>
      <c r="G43" s="534">
        <v>1</v>
      </c>
      <c r="H43" s="534">
        <v>1</v>
      </c>
      <c r="I43" s="534">
        <v>0</v>
      </c>
      <c r="J43" s="534">
        <v>0</v>
      </c>
      <c r="K43" s="534">
        <v>0</v>
      </c>
      <c r="L43" s="534">
        <v>0</v>
      </c>
      <c r="M43" s="534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  <c r="X43">
        <v>0</v>
      </c>
    </row>
    <row r="44" spans="1:24">
      <c r="A44" s="21">
        <v>210</v>
      </c>
      <c r="B44" s="21" t="s">
        <v>37</v>
      </c>
      <c r="C44" s="534">
        <v>1</v>
      </c>
      <c r="D44" s="534">
        <v>0</v>
      </c>
      <c r="E44" s="534">
        <v>0</v>
      </c>
      <c r="F44" s="534">
        <v>0</v>
      </c>
      <c r="G44" s="534">
        <v>0</v>
      </c>
      <c r="H44" s="534">
        <v>1</v>
      </c>
      <c r="I44" s="534">
        <v>0</v>
      </c>
      <c r="J44" s="534">
        <v>1</v>
      </c>
      <c r="K44" s="534">
        <v>0</v>
      </c>
      <c r="L44" s="534">
        <v>0</v>
      </c>
      <c r="M44" s="53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2</v>
      </c>
      <c r="X44">
        <v>0</v>
      </c>
    </row>
    <row r="45" spans="1:24">
      <c r="A45" s="21">
        <v>211</v>
      </c>
      <c r="B45" s="21" t="s">
        <v>38</v>
      </c>
      <c r="C45" s="534">
        <v>0</v>
      </c>
      <c r="D45" s="534">
        <v>0</v>
      </c>
      <c r="E45" s="534">
        <v>0</v>
      </c>
      <c r="F45" s="534">
        <v>0</v>
      </c>
      <c r="G45" s="534">
        <v>0</v>
      </c>
      <c r="H45" s="534">
        <v>1</v>
      </c>
      <c r="I45" s="534">
        <v>0</v>
      </c>
      <c r="J45" s="534">
        <v>1</v>
      </c>
      <c r="K45" s="534">
        <v>0</v>
      </c>
      <c r="L45" s="534">
        <v>0</v>
      </c>
      <c r="M45" s="534">
        <v>0</v>
      </c>
      <c r="N45">
        <v>1</v>
      </c>
      <c r="O45">
        <v>1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2</v>
      </c>
      <c r="X45">
        <v>0</v>
      </c>
    </row>
    <row r="46" spans="1:24">
      <c r="A46" s="21">
        <v>212</v>
      </c>
      <c r="B46" s="21" t="s">
        <v>39</v>
      </c>
      <c r="C46" s="534">
        <v>0</v>
      </c>
      <c r="D46" s="534">
        <v>0</v>
      </c>
      <c r="E46" s="534">
        <v>0</v>
      </c>
      <c r="F46" s="534">
        <v>0</v>
      </c>
      <c r="G46" s="534">
        <v>0</v>
      </c>
      <c r="H46" s="534">
        <v>0</v>
      </c>
      <c r="I46" s="534">
        <v>0</v>
      </c>
      <c r="J46" s="534">
        <v>0</v>
      </c>
      <c r="K46" s="534">
        <v>0</v>
      </c>
      <c r="L46" s="534">
        <v>0</v>
      </c>
      <c r="M46" s="534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2</v>
      </c>
      <c r="X46">
        <v>0</v>
      </c>
    </row>
    <row r="47" spans="1:24">
      <c r="A47" s="21">
        <v>220</v>
      </c>
      <c r="B47" s="21" t="s">
        <v>40</v>
      </c>
      <c r="C47" s="534">
        <v>1</v>
      </c>
      <c r="D47" s="534">
        <v>0</v>
      </c>
      <c r="E47" s="534">
        <v>0</v>
      </c>
      <c r="F47" s="534">
        <v>0</v>
      </c>
      <c r="G47" s="534">
        <v>2</v>
      </c>
      <c r="H47" s="534">
        <v>2</v>
      </c>
      <c r="I47" s="534">
        <v>0</v>
      </c>
      <c r="J47" s="534">
        <v>2</v>
      </c>
      <c r="K47" s="534">
        <v>2</v>
      </c>
      <c r="L47" s="534">
        <v>2</v>
      </c>
      <c r="M47" s="534">
        <v>1</v>
      </c>
      <c r="N47">
        <v>1</v>
      </c>
      <c r="O47">
        <v>1</v>
      </c>
      <c r="P47">
        <v>2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2</v>
      </c>
      <c r="X47">
        <v>1</v>
      </c>
    </row>
    <row r="48" spans="1:24">
      <c r="A48" s="21">
        <v>223</v>
      </c>
      <c r="B48" s="21" t="s">
        <v>42</v>
      </c>
      <c r="C48" s="534">
        <v>0</v>
      </c>
      <c r="D48" s="534">
        <v>0</v>
      </c>
      <c r="E48" s="534">
        <v>0</v>
      </c>
      <c r="F48" s="534">
        <v>0</v>
      </c>
      <c r="G48" s="534">
        <v>0</v>
      </c>
      <c r="H48" s="534">
        <v>0</v>
      </c>
      <c r="I48" s="534">
        <v>0</v>
      </c>
      <c r="J48" s="534">
        <v>0</v>
      </c>
      <c r="K48" s="534">
        <v>0</v>
      </c>
      <c r="L48" s="534">
        <v>0</v>
      </c>
      <c r="M48" s="534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>
      <c r="A49" s="21">
        <v>225</v>
      </c>
      <c r="B49" s="21" t="s">
        <v>43</v>
      </c>
      <c r="C49" s="534">
        <v>0</v>
      </c>
      <c r="D49" s="534">
        <v>0</v>
      </c>
      <c r="E49" s="534">
        <v>0</v>
      </c>
      <c r="F49" s="534">
        <v>0</v>
      </c>
      <c r="G49" s="534">
        <v>0</v>
      </c>
      <c r="H49" s="534">
        <v>0</v>
      </c>
      <c r="I49" s="534">
        <v>0</v>
      </c>
      <c r="J49" s="534">
        <v>0</v>
      </c>
      <c r="K49" s="534">
        <v>0</v>
      </c>
      <c r="L49" s="534">
        <v>0</v>
      </c>
      <c r="M49" s="534">
        <v>0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1</v>
      </c>
      <c r="X49">
        <v>0</v>
      </c>
    </row>
    <row r="50" spans="1:24">
      <c r="A50" s="21">
        <v>230</v>
      </c>
      <c r="B50" s="21" t="s">
        <v>44</v>
      </c>
      <c r="C50" s="534">
        <v>1</v>
      </c>
      <c r="D50" s="534">
        <v>0</v>
      </c>
      <c r="E50" s="534">
        <v>0</v>
      </c>
      <c r="F50" s="534">
        <v>0</v>
      </c>
      <c r="G50" s="534">
        <v>3</v>
      </c>
      <c r="H50" s="534">
        <v>1</v>
      </c>
      <c r="I50" s="534">
        <v>1</v>
      </c>
      <c r="J50" s="534">
        <v>1</v>
      </c>
      <c r="K50" s="534">
        <v>2</v>
      </c>
      <c r="L50" s="534">
        <v>0</v>
      </c>
      <c r="M50" s="534">
        <v>0</v>
      </c>
      <c r="N50">
        <v>0</v>
      </c>
      <c r="O50">
        <v>1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1</v>
      </c>
      <c r="W50">
        <v>2</v>
      </c>
      <c r="X50">
        <v>0</v>
      </c>
    </row>
    <row r="51" spans="1:24">
      <c r="A51" s="21">
        <v>232</v>
      </c>
      <c r="B51" s="21" t="s">
        <v>45</v>
      </c>
      <c r="C51" s="534">
        <v>0</v>
      </c>
      <c r="D51" s="534">
        <v>0</v>
      </c>
      <c r="E51" s="534">
        <v>0</v>
      </c>
      <c r="F51" s="534">
        <v>0</v>
      </c>
      <c r="G51" s="534">
        <v>0</v>
      </c>
      <c r="H51" s="534">
        <v>0</v>
      </c>
      <c r="I51" s="534">
        <v>0</v>
      </c>
      <c r="J51" s="534">
        <v>0</v>
      </c>
      <c r="K51" s="534">
        <v>0</v>
      </c>
      <c r="L51" s="534">
        <v>0</v>
      </c>
      <c r="M51" s="534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>
      <c r="A52" s="21">
        <v>235</v>
      </c>
      <c r="B52" s="21" t="s">
        <v>46</v>
      </c>
      <c r="C52" s="534">
        <v>0</v>
      </c>
      <c r="D52" s="534">
        <v>0</v>
      </c>
      <c r="E52" s="534">
        <v>0</v>
      </c>
      <c r="F52" s="534">
        <v>0</v>
      </c>
      <c r="G52" s="534">
        <v>0</v>
      </c>
      <c r="H52" s="534">
        <v>0</v>
      </c>
      <c r="I52" s="534">
        <v>0</v>
      </c>
      <c r="J52" s="534">
        <v>0</v>
      </c>
      <c r="K52" s="534">
        <v>0</v>
      </c>
      <c r="L52" s="534">
        <v>0</v>
      </c>
      <c r="M52" s="534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2</v>
      </c>
      <c r="X52">
        <v>0</v>
      </c>
    </row>
    <row r="53" spans="1:24">
      <c r="A53" s="21">
        <v>255</v>
      </c>
      <c r="B53" s="21" t="s">
        <v>47</v>
      </c>
      <c r="C53" s="534">
        <v>0</v>
      </c>
      <c r="D53" s="534">
        <v>0</v>
      </c>
      <c r="E53" s="534">
        <v>0</v>
      </c>
      <c r="F53" s="534">
        <v>0</v>
      </c>
      <c r="G53" s="534">
        <v>0</v>
      </c>
      <c r="H53" s="534">
        <v>0</v>
      </c>
      <c r="I53" s="534">
        <v>0</v>
      </c>
      <c r="J53" s="534">
        <v>0</v>
      </c>
      <c r="K53" s="534">
        <v>0</v>
      </c>
      <c r="L53" s="534">
        <v>0</v>
      </c>
      <c r="M53" s="534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2</v>
      </c>
      <c r="X53">
        <v>0</v>
      </c>
    </row>
    <row r="54" spans="1:24">
      <c r="A54" s="21">
        <v>290</v>
      </c>
      <c r="B54" s="21" t="s">
        <v>48</v>
      </c>
      <c r="C54" s="534">
        <v>0</v>
      </c>
      <c r="D54" s="534">
        <v>0</v>
      </c>
      <c r="E54" s="534">
        <v>0</v>
      </c>
      <c r="F54" s="534">
        <v>0</v>
      </c>
      <c r="G54" s="534">
        <v>0</v>
      </c>
      <c r="H54" s="534">
        <v>0</v>
      </c>
      <c r="I54" s="534">
        <v>0</v>
      </c>
      <c r="J54" s="534">
        <v>1</v>
      </c>
      <c r="K54" s="534">
        <v>0</v>
      </c>
      <c r="L54" s="534">
        <v>0</v>
      </c>
      <c r="M54" s="53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2</v>
      </c>
      <c r="X54">
        <v>0</v>
      </c>
    </row>
    <row r="55" spans="1:24">
      <c r="A55" s="21">
        <v>305</v>
      </c>
      <c r="B55" s="21" t="s">
        <v>49</v>
      </c>
      <c r="C55" s="534">
        <v>0</v>
      </c>
      <c r="D55" s="534">
        <v>0</v>
      </c>
      <c r="E55" s="534">
        <v>0</v>
      </c>
      <c r="F55" s="534">
        <v>0</v>
      </c>
      <c r="G55" s="534">
        <v>0</v>
      </c>
      <c r="H55" s="534">
        <v>0</v>
      </c>
      <c r="I55" s="534">
        <v>0</v>
      </c>
      <c r="J55" s="534">
        <v>0</v>
      </c>
      <c r="K55" s="534">
        <v>0</v>
      </c>
      <c r="L55" s="534">
        <v>0</v>
      </c>
      <c r="M55" s="534">
        <v>0</v>
      </c>
      <c r="N55">
        <v>1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1</v>
      </c>
      <c r="X55">
        <v>0</v>
      </c>
    </row>
    <row r="56" spans="1:24">
      <c r="A56" s="21">
        <v>310</v>
      </c>
      <c r="B56" s="21" t="s">
        <v>50</v>
      </c>
      <c r="C56" s="534">
        <v>0</v>
      </c>
      <c r="D56" s="534">
        <v>0</v>
      </c>
      <c r="E56" s="534">
        <v>0</v>
      </c>
      <c r="F56" s="534">
        <v>0</v>
      </c>
      <c r="G56" s="534">
        <v>0</v>
      </c>
      <c r="H56" s="534">
        <v>0</v>
      </c>
      <c r="I56" s="534">
        <v>0</v>
      </c>
      <c r="J56" s="534">
        <v>0</v>
      </c>
      <c r="K56" s="534">
        <v>0</v>
      </c>
      <c r="L56" s="534">
        <v>0</v>
      </c>
      <c r="M56" s="534">
        <v>0</v>
      </c>
      <c r="N56">
        <v>1</v>
      </c>
      <c r="O56">
        <v>0</v>
      </c>
      <c r="P56">
        <v>0</v>
      </c>
      <c r="Q56">
        <v>1</v>
      </c>
      <c r="R56">
        <v>2</v>
      </c>
      <c r="S56">
        <v>0</v>
      </c>
      <c r="T56">
        <v>0</v>
      </c>
      <c r="U56">
        <v>0</v>
      </c>
      <c r="V56">
        <v>0</v>
      </c>
      <c r="W56">
        <v>2</v>
      </c>
      <c r="X56">
        <v>0</v>
      </c>
    </row>
    <row r="57" spans="1:24">
      <c r="A57" s="21">
        <v>315</v>
      </c>
      <c r="B57" s="21" t="s">
        <v>198</v>
      </c>
      <c r="C57" s="534">
        <v>0</v>
      </c>
      <c r="D57" s="534">
        <v>0</v>
      </c>
      <c r="E57" s="534">
        <v>0</v>
      </c>
      <c r="F57" s="534">
        <v>0</v>
      </c>
      <c r="G57" s="534">
        <v>0</v>
      </c>
      <c r="H57" s="534">
        <v>2</v>
      </c>
      <c r="I57" s="534">
        <v>1</v>
      </c>
      <c r="J57" s="534">
        <v>0</v>
      </c>
      <c r="K57" s="534">
        <v>0</v>
      </c>
      <c r="L57" s="534">
        <v>0</v>
      </c>
      <c r="M57" s="534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</row>
    <row r="58" spans="1:24">
      <c r="A58" s="21">
        <v>316</v>
      </c>
      <c r="B58" s="21" t="s">
        <v>51</v>
      </c>
      <c r="C58" s="534">
        <v>0</v>
      </c>
      <c r="D58" s="534">
        <v>0</v>
      </c>
      <c r="E58" s="534">
        <v>0</v>
      </c>
      <c r="F58" s="534">
        <v>0</v>
      </c>
      <c r="G58" s="534">
        <v>0</v>
      </c>
      <c r="H58" s="534">
        <v>0</v>
      </c>
      <c r="I58" s="534">
        <v>0</v>
      </c>
      <c r="J58" s="534">
        <v>0</v>
      </c>
      <c r="K58" s="534">
        <v>0</v>
      </c>
      <c r="L58" s="534">
        <v>0</v>
      </c>
      <c r="M58" s="534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2</v>
      </c>
      <c r="X58">
        <v>0</v>
      </c>
    </row>
    <row r="59" spans="1:24">
      <c r="A59" s="21">
        <v>317</v>
      </c>
      <c r="B59" s="21" t="s">
        <v>52</v>
      </c>
      <c r="C59" s="534">
        <v>0</v>
      </c>
      <c r="D59" s="534">
        <v>0</v>
      </c>
      <c r="E59" s="534">
        <v>0</v>
      </c>
      <c r="F59" s="534">
        <v>0</v>
      </c>
      <c r="G59" s="534">
        <v>0</v>
      </c>
      <c r="H59" s="534">
        <v>0</v>
      </c>
      <c r="I59" s="534">
        <v>0</v>
      </c>
      <c r="J59" s="534">
        <v>0</v>
      </c>
      <c r="K59" s="534">
        <v>0</v>
      </c>
      <c r="L59" s="534">
        <v>0</v>
      </c>
      <c r="M59" s="534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1</v>
      </c>
      <c r="X59">
        <v>0</v>
      </c>
    </row>
    <row r="60" spans="1:24">
      <c r="A60" s="21">
        <v>325</v>
      </c>
      <c r="B60" s="21" t="s">
        <v>53</v>
      </c>
      <c r="C60" s="534">
        <v>1</v>
      </c>
      <c r="D60" s="534">
        <v>0</v>
      </c>
      <c r="E60" s="534">
        <v>1</v>
      </c>
      <c r="F60" s="534">
        <v>0</v>
      </c>
      <c r="G60" s="534">
        <v>0</v>
      </c>
      <c r="H60" s="534">
        <v>2</v>
      </c>
      <c r="I60" s="534">
        <v>0</v>
      </c>
      <c r="J60" s="534">
        <v>1</v>
      </c>
      <c r="K60" s="534">
        <v>0</v>
      </c>
      <c r="L60" s="534">
        <v>0</v>
      </c>
      <c r="M60" s="534">
        <v>0</v>
      </c>
      <c r="N60">
        <v>0</v>
      </c>
      <c r="O60">
        <v>1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2</v>
      </c>
      <c r="X60">
        <v>0</v>
      </c>
    </row>
    <row r="61" spans="1:24">
      <c r="A61" s="21">
        <v>331</v>
      </c>
      <c r="B61" s="21" t="s">
        <v>54</v>
      </c>
      <c r="C61" s="534">
        <v>0</v>
      </c>
      <c r="D61" s="534">
        <v>0</v>
      </c>
      <c r="E61" s="534">
        <v>0</v>
      </c>
      <c r="F61" s="534">
        <v>0</v>
      </c>
      <c r="G61" s="534">
        <v>0</v>
      </c>
      <c r="H61" s="534">
        <v>0</v>
      </c>
      <c r="I61" s="534">
        <v>0</v>
      </c>
      <c r="J61" s="534">
        <v>0</v>
      </c>
      <c r="K61" s="534">
        <v>0</v>
      </c>
      <c r="L61" s="534">
        <v>0</v>
      </c>
      <c r="M61" s="534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1:24">
      <c r="A62" s="21">
        <v>338</v>
      </c>
      <c r="B62" s="21" t="s">
        <v>55</v>
      </c>
      <c r="C62" s="534">
        <v>0</v>
      </c>
      <c r="D62" s="534">
        <v>0</v>
      </c>
      <c r="E62" s="534">
        <v>0</v>
      </c>
      <c r="F62" s="534">
        <v>0</v>
      </c>
      <c r="G62" s="534">
        <v>0</v>
      </c>
      <c r="H62" s="534">
        <v>1</v>
      </c>
      <c r="I62" s="534">
        <v>0</v>
      </c>
      <c r="J62" s="534">
        <v>1</v>
      </c>
      <c r="K62" s="534">
        <v>0</v>
      </c>
      <c r="L62" s="534">
        <v>1</v>
      </c>
      <c r="M62" s="534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</row>
    <row r="63" spans="1:24">
      <c r="A63" s="21">
        <v>339</v>
      </c>
      <c r="B63" s="21" t="s">
        <v>56</v>
      </c>
      <c r="C63" s="534">
        <v>0</v>
      </c>
      <c r="D63" s="534">
        <v>0</v>
      </c>
      <c r="E63" s="534">
        <v>0</v>
      </c>
      <c r="F63" s="534">
        <v>0</v>
      </c>
      <c r="G63" s="534">
        <v>0</v>
      </c>
      <c r="H63" s="534">
        <v>0</v>
      </c>
      <c r="I63" s="534">
        <v>0</v>
      </c>
      <c r="J63" s="534">
        <v>0</v>
      </c>
      <c r="K63" s="534">
        <v>0</v>
      </c>
      <c r="L63" s="534">
        <v>0</v>
      </c>
      <c r="M63" s="534">
        <v>0</v>
      </c>
      <c r="N63">
        <v>0</v>
      </c>
      <c r="O63">
        <v>1</v>
      </c>
      <c r="P63">
        <v>2</v>
      </c>
      <c r="Q63">
        <v>1</v>
      </c>
      <c r="R63">
        <v>1</v>
      </c>
      <c r="S63">
        <v>0</v>
      </c>
      <c r="T63">
        <v>3</v>
      </c>
      <c r="U63">
        <v>1</v>
      </c>
      <c r="V63">
        <v>0</v>
      </c>
      <c r="W63">
        <v>1</v>
      </c>
      <c r="X63">
        <v>0</v>
      </c>
    </row>
    <row r="64" spans="1:24">
      <c r="A64" s="21">
        <v>341</v>
      </c>
      <c r="B64" s="21" t="s">
        <v>193</v>
      </c>
      <c r="C64" s="534">
        <v>0</v>
      </c>
      <c r="D64" s="534">
        <v>0</v>
      </c>
      <c r="E64" s="534">
        <v>0</v>
      </c>
      <c r="F64" s="534">
        <v>0</v>
      </c>
      <c r="G64" s="534">
        <v>0</v>
      </c>
      <c r="H64" s="534">
        <v>0</v>
      </c>
      <c r="I64" s="534">
        <v>0</v>
      </c>
      <c r="J64" s="534">
        <v>0</v>
      </c>
      <c r="K64" s="534">
        <v>0</v>
      </c>
      <c r="L64" s="534">
        <v>0</v>
      </c>
      <c r="M64" s="53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</row>
    <row r="65" spans="1:24">
      <c r="A65" s="21">
        <v>343</v>
      </c>
      <c r="B65" s="21" t="s">
        <v>57</v>
      </c>
      <c r="C65" s="534">
        <v>0</v>
      </c>
      <c r="D65" s="534">
        <v>0</v>
      </c>
      <c r="E65" s="534">
        <v>0</v>
      </c>
      <c r="F65" s="534">
        <v>0</v>
      </c>
      <c r="G65" s="534">
        <v>0</v>
      </c>
      <c r="H65" s="534">
        <v>0</v>
      </c>
      <c r="I65" s="534">
        <v>0</v>
      </c>
      <c r="J65" s="534">
        <v>0</v>
      </c>
      <c r="K65" s="534">
        <v>0</v>
      </c>
      <c r="L65" s="534">
        <v>0</v>
      </c>
      <c r="M65" s="534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>
        <v>1</v>
      </c>
      <c r="U65">
        <v>0</v>
      </c>
      <c r="V65">
        <v>0</v>
      </c>
      <c r="W65">
        <v>0</v>
      </c>
      <c r="X65">
        <v>0</v>
      </c>
    </row>
    <row r="66" spans="1:24">
      <c r="A66" s="21">
        <v>344</v>
      </c>
      <c r="B66" s="21" t="s">
        <v>58</v>
      </c>
      <c r="C66" s="534">
        <v>0</v>
      </c>
      <c r="D66" s="534">
        <v>0</v>
      </c>
      <c r="E66" s="534">
        <v>0</v>
      </c>
      <c r="F66" s="534">
        <v>0</v>
      </c>
      <c r="G66" s="534">
        <v>0</v>
      </c>
      <c r="H66" s="534">
        <v>0</v>
      </c>
      <c r="I66" s="534">
        <v>0</v>
      </c>
      <c r="J66" s="534">
        <v>0</v>
      </c>
      <c r="K66" s="534">
        <v>0</v>
      </c>
      <c r="L66" s="534">
        <v>0</v>
      </c>
      <c r="M66" s="534">
        <v>0</v>
      </c>
      <c r="N66">
        <v>0</v>
      </c>
      <c r="O66">
        <v>2</v>
      </c>
      <c r="P66">
        <v>3</v>
      </c>
      <c r="Q66">
        <v>0</v>
      </c>
      <c r="R66">
        <v>2</v>
      </c>
      <c r="S66">
        <v>1</v>
      </c>
      <c r="T66">
        <v>1</v>
      </c>
      <c r="U66">
        <v>0</v>
      </c>
      <c r="V66">
        <v>0</v>
      </c>
      <c r="W66">
        <v>1</v>
      </c>
      <c r="X66">
        <v>0</v>
      </c>
    </row>
    <row r="67" spans="1:24">
      <c r="A67" s="21">
        <v>345</v>
      </c>
      <c r="B67" s="21" t="s">
        <v>59</v>
      </c>
      <c r="C67" s="534">
        <v>1</v>
      </c>
      <c r="D67" s="534">
        <v>0</v>
      </c>
      <c r="E67" s="534">
        <v>0</v>
      </c>
      <c r="F67" s="534">
        <v>0</v>
      </c>
      <c r="G67" s="534">
        <v>0</v>
      </c>
      <c r="H67" s="534">
        <v>0</v>
      </c>
      <c r="I67" s="534">
        <v>0</v>
      </c>
      <c r="J67" s="534">
        <v>1</v>
      </c>
      <c r="K67" s="534">
        <v>0</v>
      </c>
      <c r="L67" s="534">
        <v>0</v>
      </c>
      <c r="M67" s="534">
        <v>0</v>
      </c>
      <c r="N67">
        <v>2</v>
      </c>
      <c r="O67">
        <v>16</v>
      </c>
      <c r="P67">
        <v>3</v>
      </c>
      <c r="Q67">
        <v>3</v>
      </c>
      <c r="R67">
        <v>3</v>
      </c>
      <c r="S67">
        <v>0</v>
      </c>
      <c r="T67">
        <v>2</v>
      </c>
      <c r="U67">
        <v>1</v>
      </c>
      <c r="V67">
        <v>0</v>
      </c>
      <c r="W67">
        <v>59</v>
      </c>
      <c r="X67">
        <v>0</v>
      </c>
    </row>
    <row r="68" spans="1:24">
      <c r="A68" s="21">
        <v>346</v>
      </c>
      <c r="B68" s="21" t="s">
        <v>60</v>
      </c>
      <c r="C68" s="534">
        <v>0</v>
      </c>
      <c r="D68" s="534">
        <v>0</v>
      </c>
      <c r="E68" s="534">
        <v>0</v>
      </c>
      <c r="F68" s="534">
        <v>0</v>
      </c>
      <c r="G68" s="534">
        <v>0</v>
      </c>
      <c r="H68" s="534">
        <v>0</v>
      </c>
      <c r="I68" s="534">
        <v>0</v>
      </c>
      <c r="J68" s="534">
        <v>0</v>
      </c>
      <c r="K68" s="534">
        <v>0</v>
      </c>
      <c r="L68" s="534">
        <v>0</v>
      </c>
      <c r="M68" s="534">
        <v>0</v>
      </c>
      <c r="N68">
        <v>0</v>
      </c>
      <c r="O68">
        <v>2</v>
      </c>
      <c r="P68">
        <v>1</v>
      </c>
      <c r="Q68">
        <v>1</v>
      </c>
      <c r="R68">
        <v>0</v>
      </c>
      <c r="S68">
        <v>1</v>
      </c>
      <c r="T68">
        <v>0</v>
      </c>
      <c r="U68">
        <v>0</v>
      </c>
      <c r="V68">
        <v>0</v>
      </c>
      <c r="W68">
        <v>0</v>
      </c>
      <c r="X68">
        <v>0</v>
      </c>
    </row>
    <row r="69" spans="1:24" s="21" customFormat="1">
      <c r="A69" s="21">
        <v>347</v>
      </c>
      <c r="B69" s="21" t="s">
        <v>196</v>
      </c>
      <c r="C69" s="534">
        <v>0</v>
      </c>
      <c r="D69" s="534">
        <v>0</v>
      </c>
      <c r="E69" s="534">
        <v>0</v>
      </c>
      <c r="F69" s="534">
        <v>0</v>
      </c>
      <c r="G69" s="534">
        <v>0</v>
      </c>
      <c r="H69" s="534">
        <v>0</v>
      </c>
      <c r="I69" s="534">
        <v>0</v>
      </c>
      <c r="J69" s="534">
        <v>0</v>
      </c>
      <c r="K69" s="534">
        <v>0</v>
      </c>
      <c r="L69" s="534">
        <v>0</v>
      </c>
      <c r="M69" s="534">
        <v>0</v>
      </c>
    </row>
    <row r="70" spans="1:24">
      <c r="A70" s="21">
        <v>349</v>
      </c>
      <c r="B70" s="21" t="s">
        <v>61</v>
      </c>
      <c r="C70" s="534">
        <v>0</v>
      </c>
      <c r="D70" s="534">
        <v>0</v>
      </c>
      <c r="E70" s="534">
        <v>0</v>
      </c>
      <c r="F70" s="534">
        <v>0</v>
      </c>
      <c r="G70" s="534">
        <v>0</v>
      </c>
      <c r="H70" s="534">
        <v>0</v>
      </c>
      <c r="I70" s="534">
        <v>0</v>
      </c>
      <c r="J70" s="534">
        <v>0</v>
      </c>
      <c r="K70" s="534">
        <v>0</v>
      </c>
      <c r="L70" s="534">
        <v>0</v>
      </c>
      <c r="M70" s="534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0</v>
      </c>
    </row>
    <row r="71" spans="1:24">
      <c r="A71" s="21">
        <v>350</v>
      </c>
      <c r="B71" s="21" t="s">
        <v>62</v>
      </c>
      <c r="C71" s="534">
        <v>0</v>
      </c>
      <c r="D71" s="534">
        <v>1</v>
      </c>
      <c r="E71" s="534">
        <v>2</v>
      </c>
      <c r="F71" s="534">
        <v>1</v>
      </c>
      <c r="G71" s="534">
        <v>1</v>
      </c>
      <c r="H71" s="534">
        <v>0</v>
      </c>
      <c r="I71" s="534">
        <v>2</v>
      </c>
      <c r="J71" s="534">
        <v>2</v>
      </c>
      <c r="K71" s="534">
        <v>0</v>
      </c>
      <c r="L71" s="534">
        <v>1</v>
      </c>
      <c r="M71" s="534">
        <v>0</v>
      </c>
      <c r="N71">
        <v>0</v>
      </c>
      <c r="O71">
        <v>1</v>
      </c>
      <c r="P71">
        <v>0</v>
      </c>
      <c r="Q71">
        <v>2</v>
      </c>
      <c r="R71">
        <v>1</v>
      </c>
      <c r="S71">
        <v>0</v>
      </c>
      <c r="T71">
        <v>3</v>
      </c>
      <c r="U71">
        <v>0</v>
      </c>
      <c r="V71">
        <v>1</v>
      </c>
      <c r="W71">
        <v>3</v>
      </c>
      <c r="X71">
        <v>2</v>
      </c>
    </row>
    <row r="72" spans="1:24">
      <c r="A72" s="21">
        <v>352</v>
      </c>
      <c r="B72" s="21" t="s">
        <v>63</v>
      </c>
      <c r="C72" s="534">
        <v>0</v>
      </c>
      <c r="D72" s="534">
        <v>0</v>
      </c>
      <c r="E72" s="534">
        <v>0</v>
      </c>
      <c r="F72" s="534">
        <v>1</v>
      </c>
      <c r="G72" s="534">
        <v>1</v>
      </c>
      <c r="H72" s="534">
        <v>1</v>
      </c>
      <c r="I72" s="534">
        <v>2</v>
      </c>
      <c r="J72" s="534">
        <v>3</v>
      </c>
      <c r="K72" s="534">
        <v>1</v>
      </c>
      <c r="L72" s="534">
        <v>0</v>
      </c>
      <c r="M72" s="534">
        <v>0</v>
      </c>
      <c r="N72">
        <v>0</v>
      </c>
      <c r="O72">
        <v>0</v>
      </c>
      <c r="P72">
        <v>2</v>
      </c>
      <c r="Q72">
        <v>1</v>
      </c>
      <c r="R72">
        <v>0</v>
      </c>
      <c r="S72">
        <v>1</v>
      </c>
      <c r="T72">
        <v>0</v>
      </c>
      <c r="U72">
        <v>0</v>
      </c>
      <c r="V72">
        <v>0</v>
      </c>
      <c r="W72">
        <v>0</v>
      </c>
      <c r="X72">
        <v>0</v>
      </c>
    </row>
    <row r="73" spans="1:24">
      <c r="A73" s="21">
        <v>355</v>
      </c>
      <c r="B73" s="21" t="s">
        <v>64</v>
      </c>
      <c r="C73" s="534">
        <v>0</v>
      </c>
      <c r="D73" s="534">
        <v>0</v>
      </c>
      <c r="E73" s="534">
        <v>0</v>
      </c>
      <c r="F73" s="534">
        <v>0</v>
      </c>
      <c r="G73" s="534">
        <v>0</v>
      </c>
      <c r="H73" s="534">
        <v>0</v>
      </c>
      <c r="I73" s="534">
        <v>1</v>
      </c>
      <c r="J73" s="534">
        <v>1</v>
      </c>
      <c r="K73" s="534">
        <v>0</v>
      </c>
      <c r="L73" s="534">
        <v>0</v>
      </c>
      <c r="M73" s="534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0</v>
      </c>
      <c r="U73">
        <v>0</v>
      </c>
      <c r="V73">
        <v>0</v>
      </c>
      <c r="W73">
        <v>1</v>
      </c>
      <c r="X73">
        <v>0</v>
      </c>
    </row>
    <row r="74" spans="1:24">
      <c r="A74" s="21">
        <v>359</v>
      </c>
      <c r="B74" s="21" t="s">
        <v>65</v>
      </c>
      <c r="C74" s="534">
        <v>0</v>
      </c>
      <c r="D74" s="534">
        <v>0</v>
      </c>
      <c r="E74" s="534">
        <v>0</v>
      </c>
      <c r="F74" s="534">
        <v>0</v>
      </c>
      <c r="G74" s="534">
        <v>0</v>
      </c>
      <c r="H74" s="534">
        <v>0</v>
      </c>
      <c r="I74" s="534">
        <v>0</v>
      </c>
      <c r="J74" s="534">
        <v>0</v>
      </c>
      <c r="K74" s="534">
        <v>0</v>
      </c>
      <c r="L74" s="534">
        <v>0</v>
      </c>
      <c r="M74" s="534">
        <v>0</v>
      </c>
      <c r="N74">
        <v>0</v>
      </c>
      <c r="O74">
        <v>1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</row>
    <row r="75" spans="1:24">
      <c r="A75" s="21">
        <v>360</v>
      </c>
      <c r="B75" s="21" t="s">
        <v>66</v>
      </c>
      <c r="C75" s="534">
        <v>0</v>
      </c>
      <c r="D75" s="534">
        <v>0</v>
      </c>
      <c r="E75" s="534">
        <v>0</v>
      </c>
      <c r="F75" s="534">
        <v>0</v>
      </c>
      <c r="G75" s="534">
        <v>0</v>
      </c>
      <c r="H75" s="534">
        <v>0</v>
      </c>
      <c r="I75" s="534">
        <v>0</v>
      </c>
      <c r="J75" s="534">
        <v>1</v>
      </c>
      <c r="K75" s="534">
        <v>1</v>
      </c>
      <c r="L75" s="534">
        <v>0</v>
      </c>
      <c r="M75" s="534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</v>
      </c>
      <c r="U75">
        <v>0</v>
      </c>
      <c r="V75">
        <v>0</v>
      </c>
      <c r="W75">
        <v>0</v>
      </c>
      <c r="X75">
        <v>0</v>
      </c>
    </row>
    <row r="76" spans="1:24">
      <c r="A76" s="21">
        <v>365</v>
      </c>
      <c r="B76" s="21" t="s">
        <v>67</v>
      </c>
      <c r="C76" s="534">
        <v>10</v>
      </c>
      <c r="D76" s="534">
        <v>2</v>
      </c>
      <c r="E76" s="534">
        <v>5</v>
      </c>
      <c r="F76" s="534">
        <v>5</v>
      </c>
      <c r="G76" s="534">
        <v>2</v>
      </c>
      <c r="H76" s="534">
        <v>1</v>
      </c>
      <c r="I76" s="534">
        <v>3</v>
      </c>
      <c r="J76" s="534">
        <v>3</v>
      </c>
      <c r="K76" s="534">
        <v>0</v>
      </c>
      <c r="L76" s="534">
        <v>0</v>
      </c>
      <c r="M76" s="534">
        <v>0</v>
      </c>
      <c r="N76">
        <v>0</v>
      </c>
      <c r="O76">
        <v>5</v>
      </c>
      <c r="P76">
        <v>5</v>
      </c>
      <c r="Q76">
        <v>4</v>
      </c>
      <c r="R76">
        <v>1</v>
      </c>
      <c r="S76">
        <v>3</v>
      </c>
      <c r="T76">
        <v>4</v>
      </c>
      <c r="U76">
        <v>3</v>
      </c>
      <c r="V76">
        <v>16</v>
      </c>
      <c r="W76">
        <v>7</v>
      </c>
      <c r="X76">
        <v>4</v>
      </c>
    </row>
    <row r="77" spans="1:24">
      <c r="A77" s="21">
        <v>366</v>
      </c>
      <c r="B77" s="21" t="s">
        <v>68</v>
      </c>
      <c r="C77" s="534">
        <v>0</v>
      </c>
      <c r="D77" s="534">
        <v>0</v>
      </c>
      <c r="E77" s="534">
        <v>0</v>
      </c>
      <c r="F77" s="534">
        <v>0</v>
      </c>
      <c r="G77" s="534">
        <v>0</v>
      </c>
      <c r="H77" s="534">
        <v>0</v>
      </c>
      <c r="I77" s="534">
        <v>0</v>
      </c>
      <c r="J77" s="534">
        <v>0</v>
      </c>
      <c r="K77" s="534">
        <v>0</v>
      </c>
      <c r="L77" s="534">
        <v>0</v>
      </c>
      <c r="M77" s="534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</v>
      </c>
      <c r="X77">
        <v>0</v>
      </c>
    </row>
    <row r="78" spans="1:24">
      <c r="A78" s="21">
        <v>367</v>
      </c>
      <c r="B78" s="21" t="s">
        <v>69</v>
      </c>
      <c r="C78" s="534">
        <v>0</v>
      </c>
      <c r="D78" s="534">
        <v>0</v>
      </c>
      <c r="E78" s="534">
        <v>0</v>
      </c>
      <c r="F78" s="534">
        <v>0</v>
      </c>
      <c r="G78" s="534">
        <v>0</v>
      </c>
      <c r="H78" s="534">
        <v>0</v>
      </c>
      <c r="I78" s="534">
        <v>0</v>
      </c>
      <c r="J78" s="534">
        <v>0</v>
      </c>
      <c r="K78" s="534">
        <v>0</v>
      </c>
      <c r="L78" s="534">
        <v>0</v>
      </c>
      <c r="M78" s="534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v>1</v>
      </c>
      <c r="V78">
        <v>0</v>
      </c>
      <c r="W78">
        <v>0</v>
      </c>
      <c r="X78">
        <v>0</v>
      </c>
    </row>
    <row r="79" spans="1:24">
      <c r="A79" s="21">
        <v>368</v>
      </c>
      <c r="B79" s="21" t="s">
        <v>70</v>
      </c>
      <c r="C79" s="534">
        <v>0</v>
      </c>
      <c r="D79" s="534">
        <v>0</v>
      </c>
      <c r="E79" s="534">
        <v>0</v>
      </c>
      <c r="F79" s="534">
        <v>0</v>
      </c>
      <c r="G79" s="534">
        <v>0</v>
      </c>
      <c r="H79" s="534">
        <v>0</v>
      </c>
      <c r="I79" s="534">
        <v>0</v>
      </c>
      <c r="J79" s="534">
        <v>0</v>
      </c>
      <c r="K79" s="534">
        <v>0</v>
      </c>
      <c r="L79" s="534">
        <v>0</v>
      </c>
      <c r="M79" s="534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0</v>
      </c>
      <c r="T79">
        <v>0</v>
      </c>
      <c r="U79">
        <v>0</v>
      </c>
      <c r="V79">
        <v>0</v>
      </c>
      <c r="W79">
        <v>2</v>
      </c>
      <c r="X79">
        <v>1</v>
      </c>
    </row>
    <row r="80" spans="1:24">
      <c r="A80" s="21">
        <v>369</v>
      </c>
      <c r="B80" s="21" t="s">
        <v>71</v>
      </c>
      <c r="C80" s="534">
        <v>0</v>
      </c>
      <c r="D80" s="534">
        <v>0</v>
      </c>
      <c r="E80" s="534">
        <v>0</v>
      </c>
      <c r="F80" s="534">
        <v>0</v>
      </c>
      <c r="G80" s="534">
        <v>0</v>
      </c>
      <c r="H80" s="534">
        <v>0</v>
      </c>
      <c r="I80" s="534">
        <v>0</v>
      </c>
      <c r="J80" s="534">
        <v>0</v>
      </c>
      <c r="K80" s="534">
        <v>0</v>
      </c>
      <c r="L80" s="534">
        <v>0</v>
      </c>
      <c r="M80" s="534">
        <v>0</v>
      </c>
      <c r="N80">
        <v>0</v>
      </c>
      <c r="O80">
        <v>1</v>
      </c>
      <c r="P80">
        <v>0</v>
      </c>
      <c r="Q80">
        <v>1</v>
      </c>
      <c r="R80">
        <v>0</v>
      </c>
      <c r="S80">
        <v>1</v>
      </c>
      <c r="T80">
        <v>1</v>
      </c>
      <c r="U80">
        <v>0</v>
      </c>
      <c r="V80">
        <v>0</v>
      </c>
      <c r="W80">
        <v>1</v>
      </c>
      <c r="X80">
        <v>0</v>
      </c>
    </row>
    <row r="81" spans="1:24">
      <c r="A81" s="21">
        <v>370</v>
      </c>
      <c r="B81" s="21" t="s">
        <v>72</v>
      </c>
      <c r="C81" s="534">
        <v>0</v>
      </c>
      <c r="D81" s="534">
        <v>0</v>
      </c>
      <c r="E81" s="534">
        <v>0</v>
      </c>
      <c r="F81" s="534">
        <v>0</v>
      </c>
      <c r="G81" s="534">
        <v>0</v>
      </c>
      <c r="H81" s="534">
        <v>0</v>
      </c>
      <c r="I81" s="534">
        <v>0</v>
      </c>
      <c r="J81" s="534">
        <v>0</v>
      </c>
      <c r="K81" s="534">
        <v>0</v>
      </c>
      <c r="L81" s="534">
        <v>0</v>
      </c>
      <c r="M81" s="534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</row>
    <row r="82" spans="1:24">
      <c r="A82" s="21">
        <v>371</v>
      </c>
      <c r="B82" s="21" t="s">
        <v>73</v>
      </c>
      <c r="C82" s="534">
        <v>0</v>
      </c>
      <c r="D82" s="534">
        <v>0</v>
      </c>
      <c r="E82" s="534">
        <v>0</v>
      </c>
      <c r="F82" s="534">
        <v>0</v>
      </c>
      <c r="G82" s="534">
        <v>0</v>
      </c>
      <c r="H82" s="534">
        <v>0</v>
      </c>
      <c r="I82" s="534">
        <v>0</v>
      </c>
      <c r="J82" s="534">
        <v>0</v>
      </c>
      <c r="K82" s="534">
        <v>0</v>
      </c>
      <c r="L82" s="534">
        <v>0</v>
      </c>
      <c r="M82" s="534">
        <v>0</v>
      </c>
      <c r="N82">
        <v>0</v>
      </c>
      <c r="O82">
        <v>1</v>
      </c>
      <c r="P82">
        <v>0</v>
      </c>
      <c r="Q82">
        <v>1</v>
      </c>
      <c r="R82">
        <v>1</v>
      </c>
      <c r="S82">
        <v>1</v>
      </c>
      <c r="T82">
        <v>0</v>
      </c>
      <c r="U82">
        <v>1</v>
      </c>
      <c r="V82">
        <v>0</v>
      </c>
      <c r="W82">
        <v>1</v>
      </c>
      <c r="X82">
        <v>2</v>
      </c>
    </row>
    <row r="83" spans="1:24">
      <c r="A83" s="21">
        <v>372</v>
      </c>
      <c r="B83" s="21" t="s">
        <v>74</v>
      </c>
      <c r="C83" s="534">
        <v>0</v>
      </c>
      <c r="D83" s="534">
        <v>0</v>
      </c>
      <c r="E83" s="534">
        <v>0</v>
      </c>
      <c r="F83" s="534">
        <v>0</v>
      </c>
      <c r="G83" s="534">
        <v>0</v>
      </c>
      <c r="H83" s="534">
        <v>0</v>
      </c>
      <c r="I83" s="534">
        <v>0</v>
      </c>
      <c r="J83" s="534">
        <v>0</v>
      </c>
      <c r="K83" s="534">
        <v>0</v>
      </c>
      <c r="L83" s="534">
        <v>0</v>
      </c>
      <c r="M83" s="534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1</v>
      </c>
      <c r="T83">
        <v>1</v>
      </c>
      <c r="U83">
        <v>0</v>
      </c>
      <c r="V83">
        <v>1</v>
      </c>
      <c r="W83">
        <v>1</v>
      </c>
      <c r="X83">
        <v>1</v>
      </c>
    </row>
    <row r="84" spans="1:24">
      <c r="A84" s="21">
        <v>373</v>
      </c>
      <c r="B84" s="21" t="s">
        <v>75</v>
      </c>
      <c r="C84" s="534">
        <v>0</v>
      </c>
      <c r="D84" s="534">
        <v>0</v>
      </c>
      <c r="E84" s="534">
        <v>0</v>
      </c>
      <c r="F84" s="534">
        <v>0</v>
      </c>
      <c r="G84" s="534">
        <v>0</v>
      </c>
      <c r="H84" s="534">
        <v>0</v>
      </c>
      <c r="I84" s="534">
        <v>0</v>
      </c>
      <c r="J84" s="534">
        <v>0</v>
      </c>
      <c r="K84" s="534">
        <v>0</v>
      </c>
      <c r="L84" s="534">
        <v>0</v>
      </c>
      <c r="M84" s="534">
        <v>0</v>
      </c>
      <c r="N84">
        <v>0</v>
      </c>
      <c r="O84">
        <v>1</v>
      </c>
      <c r="P84">
        <v>0</v>
      </c>
      <c r="Q84">
        <v>0</v>
      </c>
      <c r="R84">
        <v>1</v>
      </c>
      <c r="S84">
        <v>2</v>
      </c>
      <c r="T84">
        <v>0</v>
      </c>
      <c r="U84">
        <v>1</v>
      </c>
      <c r="V84">
        <v>1</v>
      </c>
      <c r="W84">
        <v>2</v>
      </c>
      <c r="X84">
        <v>3</v>
      </c>
    </row>
    <row r="85" spans="1:24">
      <c r="A85" s="21">
        <v>375</v>
      </c>
      <c r="B85" s="21" t="s">
        <v>76</v>
      </c>
      <c r="C85" s="534">
        <v>0</v>
      </c>
      <c r="D85" s="534">
        <v>0</v>
      </c>
      <c r="E85" s="534">
        <v>0</v>
      </c>
      <c r="F85" s="534">
        <v>0</v>
      </c>
      <c r="G85" s="534">
        <v>0</v>
      </c>
      <c r="H85" s="534">
        <v>0</v>
      </c>
      <c r="I85" s="534">
        <v>0</v>
      </c>
      <c r="J85" s="534">
        <v>0</v>
      </c>
      <c r="K85" s="534">
        <v>0</v>
      </c>
      <c r="L85" s="534">
        <v>0</v>
      </c>
      <c r="M85" s="534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</v>
      </c>
      <c r="X85">
        <v>0</v>
      </c>
    </row>
    <row r="86" spans="1:24">
      <c r="A86" s="21">
        <v>380</v>
      </c>
      <c r="B86" s="21" t="s">
        <v>77</v>
      </c>
      <c r="C86" s="534">
        <v>0</v>
      </c>
      <c r="D86" s="534">
        <v>1</v>
      </c>
      <c r="E86" s="534">
        <v>1</v>
      </c>
      <c r="F86" s="534">
        <v>1</v>
      </c>
      <c r="G86" s="534">
        <v>0</v>
      </c>
      <c r="H86" s="534">
        <v>0</v>
      </c>
      <c r="I86" s="534">
        <v>0</v>
      </c>
      <c r="J86" s="534">
        <v>2</v>
      </c>
      <c r="K86" s="534">
        <v>0</v>
      </c>
      <c r="L86" s="534">
        <v>0</v>
      </c>
      <c r="M86" s="534">
        <v>0</v>
      </c>
      <c r="N86">
        <v>0</v>
      </c>
      <c r="O86">
        <v>1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1</v>
      </c>
      <c r="X86">
        <v>0</v>
      </c>
    </row>
    <row r="87" spans="1:24">
      <c r="A87" s="21">
        <v>385</v>
      </c>
      <c r="B87" s="21" t="s">
        <v>78</v>
      </c>
      <c r="C87" s="534">
        <v>1</v>
      </c>
      <c r="D87" s="534">
        <v>1</v>
      </c>
      <c r="E87" s="534">
        <v>0</v>
      </c>
      <c r="F87" s="534">
        <v>1</v>
      </c>
      <c r="G87" s="534">
        <v>1</v>
      </c>
      <c r="H87" s="534">
        <v>0</v>
      </c>
      <c r="I87" s="534">
        <v>0</v>
      </c>
      <c r="J87" s="534">
        <v>3</v>
      </c>
      <c r="K87" s="534">
        <v>0</v>
      </c>
      <c r="L87" s="534">
        <v>0</v>
      </c>
      <c r="M87" s="534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</v>
      </c>
      <c r="V87">
        <v>2</v>
      </c>
      <c r="W87">
        <v>2</v>
      </c>
      <c r="X87">
        <v>2</v>
      </c>
    </row>
    <row r="88" spans="1:24">
      <c r="A88" s="21">
        <v>390</v>
      </c>
      <c r="B88" s="21" t="s">
        <v>79</v>
      </c>
      <c r="C88" s="534">
        <v>0</v>
      </c>
      <c r="D88" s="534">
        <v>2</v>
      </c>
      <c r="E88" s="534">
        <v>0</v>
      </c>
      <c r="F88" s="534">
        <v>0</v>
      </c>
      <c r="G88" s="534">
        <v>1</v>
      </c>
      <c r="H88" s="534">
        <v>0</v>
      </c>
      <c r="I88" s="534">
        <v>1</v>
      </c>
      <c r="J88" s="534">
        <v>0</v>
      </c>
      <c r="K88" s="534">
        <v>0</v>
      </c>
      <c r="L88" s="534">
        <v>0</v>
      </c>
      <c r="M88" s="534">
        <v>0</v>
      </c>
      <c r="N88">
        <v>0</v>
      </c>
      <c r="O88">
        <v>1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2</v>
      </c>
      <c r="X88">
        <v>0</v>
      </c>
    </row>
    <row r="89" spans="1:24">
      <c r="A89" s="21">
        <v>395</v>
      </c>
      <c r="B89" s="21" t="s">
        <v>80</v>
      </c>
      <c r="C89" s="534">
        <v>0</v>
      </c>
      <c r="D89" s="534">
        <v>0</v>
      </c>
      <c r="E89" s="534">
        <v>0</v>
      </c>
      <c r="F89" s="534">
        <v>0</v>
      </c>
      <c r="G89" s="534">
        <v>0</v>
      </c>
      <c r="H89" s="534">
        <v>0</v>
      </c>
      <c r="I89" s="534">
        <v>0</v>
      </c>
      <c r="J89" s="534">
        <v>0</v>
      </c>
      <c r="K89" s="534">
        <v>0</v>
      </c>
      <c r="L89" s="534">
        <v>0</v>
      </c>
      <c r="M89" s="534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2</v>
      </c>
      <c r="X89">
        <v>0</v>
      </c>
    </row>
    <row r="90" spans="1:24">
      <c r="A90" s="21">
        <v>402</v>
      </c>
      <c r="B90" s="21" t="s">
        <v>81</v>
      </c>
      <c r="C90" s="534">
        <v>0</v>
      </c>
      <c r="D90" s="534">
        <v>0</v>
      </c>
      <c r="E90" s="534">
        <v>0</v>
      </c>
      <c r="F90" s="534">
        <v>0</v>
      </c>
      <c r="G90" s="534">
        <v>0</v>
      </c>
      <c r="H90" s="534">
        <v>0</v>
      </c>
      <c r="I90" s="534">
        <v>0</v>
      </c>
      <c r="J90" s="534">
        <v>0</v>
      </c>
      <c r="K90" s="534">
        <v>0</v>
      </c>
      <c r="L90" s="534">
        <v>0</v>
      </c>
      <c r="M90" s="534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</row>
    <row r="91" spans="1:24">
      <c r="A91" s="21">
        <v>403</v>
      </c>
      <c r="B91" s="21" t="s">
        <v>82</v>
      </c>
      <c r="C91" s="534">
        <v>0</v>
      </c>
      <c r="D91" s="534">
        <v>0</v>
      </c>
      <c r="E91" s="534">
        <v>0</v>
      </c>
      <c r="F91" s="534">
        <v>0</v>
      </c>
      <c r="G91" s="534">
        <v>0</v>
      </c>
      <c r="H91" s="534">
        <v>0</v>
      </c>
      <c r="I91" s="534">
        <v>0</v>
      </c>
      <c r="J91" s="534">
        <v>0</v>
      </c>
      <c r="K91" s="534">
        <v>0</v>
      </c>
      <c r="L91" s="534">
        <v>0</v>
      </c>
      <c r="M91" s="534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</row>
    <row r="92" spans="1:24">
      <c r="A92" s="21">
        <v>404</v>
      </c>
      <c r="B92" s="21" t="s">
        <v>83</v>
      </c>
      <c r="C92" s="534">
        <v>0</v>
      </c>
      <c r="D92" s="534">
        <v>0</v>
      </c>
      <c r="E92" s="534">
        <v>0</v>
      </c>
      <c r="F92" s="534">
        <v>0</v>
      </c>
      <c r="G92" s="534">
        <v>0</v>
      </c>
      <c r="H92" s="534">
        <v>0</v>
      </c>
      <c r="I92" s="534">
        <v>0</v>
      </c>
      <c r="J92" s="534">
        <v>0</v>
      </c>
      <c r="K92" s="534">
        <v>0</v>
      </c>
      <c r="L92" s="534">
        <v>0</v>
      </c>
      <c r="M92" s="534">
        <v>1</v>
      </c>
      <c r="N92">
        <v>0</v>
      </c>
      <c r="O92"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</row>
    <row r="93" spans="1:24">
      <c r="A93" s="21">
        <v>411</v>
      </c>
      <c r="B93" s="21" t="s">
        <v>84</v>
      </c>
      <c r="C93" s="534">
        <v>0</v>
      </c>
      <c r="D93" s="534">
        <v>0</v>
      </c>
      <c r="E93" s="534">
        <v>0</v>
      </c>
      <c r="F93" s="534">
        <v>0</v>
      </c>
      <c r="G93" s="534">
        <v>0</v>
      </c>
      <c r="H93" s="534">
        <v>0</v>
      </c>
      <c r="I93" s="534">
        <v>0</v>
      </c>
      <c r="J93" s="534">
        <v>0</v>
      </c>
      <c r="K93" s="534">
        <v>0</v>
      </c>
      <c r="L93" s="534">
        <v>0</v>
      </c>
      <c r="M93" s="534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</v>
      </c>
      <c r="X93">
        <v>0</v>
      </c>
    </row>
    <row r="94" spans="1:24">
      <c r="A94" s="21">
        <v>420</v>
      </c>
      <c r="B94" s="21" t="s">
        <v>85</v>
      </c>
      <c r="C94" s="534">
        <v>0</v>
      </c>
      <c r="D94" s="534">
        <v>0</v>
      </c>
      <c r="E94" s="534">
        <v>0</v>
      </c>
      <c r="F94" s="534">
        <v>0</v>
      </c>
      <c r="G94" s="534">
        <v>0</v>
      </c>
      <c r="H94" s="534">
        <v>0</v>
      </c>
      <c r="I94" s="534">
        <v>0</v>
      </c>
      <c r="J94" s="534">
        <v>0</v>
      </c>
      <c r="K94" s="534">
        <v>0</v>
      </c>
      <c r="L94" s="534">
        <v>0</v>
      </c>
      <c r="M94" s="53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</row>
    <row r="95" spans="1:24">
      <c r="A95" s="21">
        <v>432</v>
      </c>
      <c r="B95" s="21" t="s">
        <v>86</v>
      </c>
      <c r="C95" s="534">
        <v>0</v>
      </c>
      <c r="D95" s="534">
        <v>0</v>
      </c>
      <c r="E95" s="534">
        <v>0</v>
      </c>
      <c r="F95" s="534">
        <v>0</v>
      </c>
      <c r="G95" s="534">
        <v>0</v>
      </c>
      <c r="H95" s="534">
        <v>1</v>
      </c>
      <c r="I95" s="534">
        <v>1</v>
      </c>
      <c r="J95" s="534">
        <v>0</v>
      </c>
      <c r="K95" s="534">
        <v>0</v>
      </c>
      <c r="L95" s="534">
        <v>0</v>
      </c>
      <c r="M95" s="534">
        <v>0</v>
      </c>
      <c r="N95">
        <v>0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</row>
    <row r="96" spans="1:24">
      <c r="A96" s="21">
        <v>433</v>
      </c>
      <c r="B96" s="21" t="s">
        <v>87</v>
      </c>
      <c r="C96" s="534">
        <v>0</v>
      </c>
      <c r="D96" s="534">
        <v>0</v>
      </c>
      <c r="E96" s="534">
        <v>0</v>
      </c>
      <c r="F96" s="534">
        <v>0</v>
      </c>
      <c r="G96" s="534">
        <v>0</v>
      </c>
      <c r="H96" s="534">
        <v>0</v>
      </c>
      <c r="I96" s="534">
        <v>0</v>
      </c>
      <c r="J96" s="534">
        <v>0</v>
      </c>
      <c r="K96" s="534">
        <v>0</v>
      </c>
      <c r="L96" s="534">
        <v>1</v>
      </c>
      <c r="M96" s="534">
        <v>1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</row>
    <row r="97" spans="1:24">
      <c r="A97" s="21">
        <v>434</v>
      </c>
      <c r="B97" s="21" t="s">
        <v>88</v>
      </c>
      <c r="C97" s="534">
        <v>0</v>
      </c>
      <c r="D97" s="534">
        <v>0</v>
      </c>
      <c r="E97" s="534">
        <v>0</v>
      </c>
      <c r="F97" s="534">
        <v>0</v>
      </c>
      <c r="G97" s="534">
        <v>0</v>
      </c>
      <c r="H97" s="534">
        <v>0</v>
      </c>
      <c r="I97" s="534">
        <v>0</v>
      </c>
      <c r="J97" s="534">
        <v>0</v>
      </c>
      <c r="K97" s="534">
        <v>0</v>
      </c>
      <c r="L97" s="534">
        <v>0</v>
      </c>
      <c r="M97" s="534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</row>
    <row r="98" spans="1:24">
      <c r="A98" s="21">
        <v>435</v>
      </c>
      <c r="B98" s="21" t="s">
        <v>89</v>
      </c>
      <c r="C98" s="534">
        <v>1</v>
      </c>
      <c r="D98" s="534">
        <v>1</v>
      </c>
      <c r="E98" s="534">
        <v>0</v>
      </c>
      <c r="F98" s="534">
        <v>0</v>
      </c>
      <c r="G98" s="534">
        <v>0</v>
      </c>
      <c r="H98" s="534">
        <v>0</v>
      </c>
      <c r="I98" s="534">
        <v>0</v>
      </c>
      <c r="J98" s="534">
        <v>1</v>
      </c>
      <c r="K98" s="534">
        <v>0</v>
      </c>
      <c r="L98" s="534">
        <v>1</v>
      </c>
      <c r="M98" s="534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</row>
    <row r="99" spans="1:24">
      <c r="A99" s="21">
        <v>436</v>
      </c>
      <c r="B99" s="21" t="s">
        <v>90</v>
      </c>
      <c r="C99" s="534">
        <v>0</v>
      </c>
      <c r="D99" s="534">
        <v>0</v>
      </c>
      <c r="E99" s="534">
        <v>0</v>
      </c>
      <c r="F99" s="534">
        <v>0</v>
      </c>
      <c r="G99" s="534">
        <v>0</v>
      </c>
      <c r="H99" s="534">
        <v>0</v>
      </c>
      <c r="I99" s="534">
        <v>0</v>
      </c>
      <c r="J99" s="534">
        <v>0</v>
      </c>
      <c r="K99" s="534">
        <v>0</v>
      </c>
      <c r="L99" s="534">
        <v>0</v>
      </c>
      <c r="M99" s="534">
        <v>0</v>
      </c>
      <c r="N99">
        <v>0</v>
      </c>
      <c r="O99">
        <v>0</v>
      </c>
      <c r="P99">
        <v>2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</row>
    <row r="100" spans="1:24">
      <c r="A100" s="21">
        <v>437</v>
      </c>
      <c r="B100" s="21" t="s">
        <v>91</v>
      </c>
      <c r="C100" s="534">
        <v>0</v>
      </c>
      <c r="D100" s="534">
        <v>0</v>
      </c>
      <c r="E100" s="534">
        <v>0</v>
      </c>
      <c r="F100" s="534">
        <v>0</v>
      </c>
      <c r="G100" s="534">
        <v>0</v>
      </c>
      <c r="H100" s="534">
        <v>0</v>
      </c>
      <c r="I100" s="534">
        <v>0</v>
      </c>
      <c r="J100" s="534">
        <v>0</v>
      </c>
      <c r="K100" s="534">
        <v>0</v>
      </c>
      <c r="L100" s="534">
        <v>0</v>
      </c>
      <c r="M100" s="534">
        <v>1</v>
      </c>
      <c r="N100">
        <v>0</v>
      </c>
      <c r="O100">
        <v>0</v>
      </c>
      <c r="P100">
        <v>1</v>
      </c>
      <c r="Q100">
        <v>0</v>
      </c>
      <c r="R100">
        <v>0</v>
      </c>
      <c r="S100">
        <v>1</v>
      </c>
      <c r="T100">
        <v>0</v>
      </c>
      <c r="U100">
        <v>0</v>
      </c>
      <c r="V100">
        <v>0</v>
      </c>
      <c r="W100">
        <v>0</v>
      </c>
      <c r="X100">
        <v>0</v>
      </c>
    </row>
    <row r="101" spans="1:24">
      <c r="A101" s="21">
        <v>438</v>
      </c>
      <c r="B101" s="21" t="s">
        <v>92</v>
      </c>
      <c r="C101" s="534">
        <v>0</v>
      </c>
      <c r="D101" s="534">
        <v>0</v>
      </c>
      <c r="E101" s="534">
        <v>0</v>
      </c>
      <c r="F101" s="534">
        <v>0</v>
      </c>
      <c r="G101" s="534">
        <v>0</v>
      </c>
      <c r="H101" s="534">
        <v>0</v>
      </c>
      <c r="I101" s="534">
        <v>0</v>
      </c>
      <c r="J101" s="534">
        <v>0</v>
      </c>
      <c r="K101" s="534">
        <v>0</v>
      </c>
      <c r="L101" s="534">
        <v>0</v>
      </c>
      <c r="M101" s="534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1</v>
      </c>
      <c r="U101">
        <v>0</v>
      </c>
      <c r="V101">
        <v>1</v>
      </c>
      <c r="W101">
        <v>1</v>
      </c>
      <c r="X101">
        <v>1</v>
      </c>
    </row>
    <row r="102" spans="1:24">
      <c r="A102" s="21">
        <v>439</v>
      </c>
      <c r="B102" s="21" t="s">
        <v>93</v>
      </c>
      <c r="C102" s="534">
        <v>0</v>
      </c>
      <c r="D102" s="534">
        <v>0</v>
      </c>
      <c r="E102" s="534">
        <v>0</v>
      </c>
      <c r="F102" s="534">
        <v>0</v>
      </c>
      <c r="G102" s="534">
        <v>0</v>
      </c>
      <c r="H102" s="534">
        <v>1</v>
      </c>
      <c r="I102" s="534">
        <v>1</v>
      </c>
      <c r="J102" s="534">
        <v>0</v>
      </c>
      <c r="K102" s="534">
        <v>0</v>
      </c>
      <c r="L102" s="534">
        <v>0</v>
      </c>
      <c r="M102" s="534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>
      <c r="A103" s="21">
        <v>450</v>
      </c>
      <c r="B103" s="21" t="s">
        <v>94</v>
      </c>
      <c r="C103" s="534">
        <v>0</v>
      </c>
      <c r="D103" s="534">
        <v>0</v>
      </c>
      <c r="E103" s="534">
        <v>0</v>
      </c>
      <c r="F103" s="534">
        <v>0</v>
      </c>
      <c r="G103" s="534">
        <v>1</v>
      </c>
      <c r="H103" s="534">
        <v>0</v>
      </c>
      <c r="I103" s="534">
        <v>1</v>
      </c>
      <c r="J103" s="534">
        <v>1</v>
      </c>
      <c r="K103" s="534">
        <v>1</v>
      </c>
      <c r="L103" s="534">
        <v>0</v>
      </c>
      <c r="M103" s="534">
        <v>1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2</v>
      </c>
      <c r="V103">
        <v>3</v>
      </c>
      <c r="W103">
        <v>1</v>
      </c>
      <c r="X103">
        <v>1</v>
      </c>
    </row>
    <row r="104" spans="1:24">
      <c r="A104" s="21">
        <v>451</v>
      </c>
      <c r="B104" s="21" t="s">
        <v>95</v>
      </c>
      <c r="C104" s="534">
        <v>0</v>
      </c>
      <c r="D104" s="534">
        <v>0</v>
      </c>
      <c r="E104" s="534">
        <v>0</v>
      </c>
      <c r="F104" s="534">
        <v>0</v>
      </c>
      <c r="G104" s="534">
        <v>0</v>
      </c>
      <c r="H104" s="534">
        <v>0</v>
      </c>
      <c r="I104" s="534">
        <v>0</v>
      </c>
      <c r="J104" s="534">
        <v>0</v>
      </c>
      <c r="K104" s="534">
        <v>0</v>
      </c>
      <c r="L104" s="534">
        <v>0</v>
      </c>
      <c r="M104" s="53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3</v>
      </c>
      <c r="U104">
        <v>0</v>
      </c>
      <c r="V104">
        <v>1</v>
      </c>
      <c r="W104">
        <v>0</v>
      </c>
      <c r="X104">
        <v>2</v>
      </c>
    </row>
    <row r="105" spans="1:24">
      <c r="A105" s="21">
        <v>452</v>
      </c>
      <c r="B105" s="21" t="s">
        <v>96</v>
      </c>
      <c r="C105" s="534">
        <v>0</v>
      </c>
      <c r="D105" s="534">
        <v>0</v>
      </c>
      <c r="E105" s="534">
        <v>1</v>
      </c>
      <c r="F105" s="534">
        <v>0</v>
      </c>
      <c r="G105" s="534">
        <v>0</v>
      </c>
      <c r="H105" s="534">
        <v>0</v>
      </c>
      <c r="I105" s="534">
        <v>0</v>
      </c>
      <c r="J105" s="534">
        <v>0</v>
      </c>
      <c r="K105" s="534">
        <v>0</v>
      </c>
      <c r="L105" s="534">
        <v>0</v>
      </c>
      <c r="M105" s="534">
        <v>0</v>
      </c>
      <c r="N105">
        <v>0</v>
      </c>
      <c r="O105">
        <v>0</v>
      </c>
      <c r="P105">
        <v>1</v>
      </c>
      <c r="Q105">
        <v>2</v>
      </c>
      <c r="R105">
        <v>0</v>
      </c>
      <c r="S105">
        <v>0</v>
      </c>
      <c r="T105">
        <v>1</v>
      </c>
      <c r="U105">
        <v>0</v>
      </c>
      <c r="V105">
        <v>0</v>
      </c>
      <c r="W105">
        <v>0</v>
      </c>
      <c r="X105">
        <v>0</v>
      </c>
    </row>
    <row r="106" spans="1:24">
      <c r="A106" s="21">
        <v>461</v>
      </c>
      <c r="B106" s="21" t="s">
        <v>97</v>
      </c>
      <c r="C106" s="534">
        <v>0</v>
      </c>
      <c r="D106" s="534">
        <v>0</v>
      </c>
      <c r="E106" s="534">
        <v>1</v>
      </c>
      <c r="F106" s="534">
        <v>0</v>
      </c>
      <c r="G106" s="534">
        <v>0</v>
      </c>
      <c r="H106" s="534">
        <v>0</v>
      </c>
      <c r="I106" s="534">
        <v>0</v>
      </c>
      <c r="J106" s="534">
        <v>0</v>
      </c>
      <c r="K106" s="534">
        <v>0</v>
      </c>
      <c r="L106" s="534">
        <v>0</v>
      </c>
      <c r="M106" s="534">
        <v>0</v>
      </c>
      <c r="N106">
        <v>0</v>
      </c>
      <c r="O106">
        <v>0</v>
      </c>
      <c r="P106">
        <v>1</v>
      </c>
      <c r="Q106">
        <v>2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</row>
    <row r="107" spans="1:24">
      <c r="A107" s="21">
        <v>471</v>
      </c>
      <c r="B107" s="21" t="s">
        <v>98</v>
      </c>
      <c r="C107" s="534">
        <v>0</v>
      </c>
      <c r="D107" s="534">
        <v>1</v>
      </c>
      <c r="E107" s="534">
        <v>0</v>
      </c>
      <c r="F107" s="534">
        <v>0</v>
      </c>
      <c r="G107" s="534">
        <v>0</v>
      </c>
      <c r="H107" s="534">
        <v>0</v>
      </c>
      <c r="I107" s="534">
        <v>0</v>
      </c>
      <c r="J107" s="534">
        <v>1</v>
      </c>
      <c r="K107" s="534">
        <v>0</v>
      </c>
      <c r="L107" s="534">
        <v>0</v>
      </c>
      <c r="M107" s="534">
        <v>0</v>
      </c>
      <c r="N107">
        <v>0</v>
      </c>
      <c r="O107">
        <v>0</v>
      </c>
      <c r="P107">
        <v>0</v>
      </c>
      <c r="Q107">
        <v>1</v>
      </c>
      <c r="R107">
        <v>1</v>
      </c>
      <c r="S107">
        <v>1</v>
      </c>
      <c r="T107">
        <v>0</v>
      </c>
      <c r="U107">
        <v>1</v>
      </c>
      <c r="V107">
        <v>0</v>
      </c>
      <c r="W107">
        <v>0</v>
      </c>
      <c r="X107">
        <v>1</v>
      </c>
    </row>
    <row r="108" spans="1:24">
      <c r="A108" s="21">
        <v>475</v>
      </c>
      <c r="B108" s="21" t="s">
        <v>99</v>
      </c>
      <c r="C108" s="534">
        <v>0</v>
      </c>
      <c r="D108" s="534">
        <v>1</v>
      </c>
      <c r="E108" s="534">
        <v>0</v>
      </c>
      <c r="F108" s="534">
        <v>1</v>
      </c>
      <c r="G108" s="534">
        <v>0</v>
      </c>
      <c r="H108" s="534">
        <v>0</v>
      </c>
      <c r="I108" s="534">
        <v>0</v>
      </c>
      <c r="J108" s="534">
        <v>1</v>
      </c>
      <c r="K108" s="534">
        <v>0</v>
      </c>
      <c r="L108" s="534">
        <v>0</v>
      </c>
      <c r="M108" s="534">
        <v>0</v>
      </c>
      <c r="N108">
        <v>0</v>
      </c>
      <c r="O108">
        <v>0</v>
      </c>
      <c r="P108">
        <v>1</v>
      </c>
      <c r="Q108">
        <v>1</v>
      </c>
      <c r="R108">
        <v>2</v>
      </c>
      <c r="S108">
        <v>1</v>
      </c>
      <c r="T108">
        <v>1</v>
      </c>
      <c r="U108">
        <v>2</v>
      </c>
      <c r="V108">
        <v>1</v>
      </c>
      <c r="W108">
        <v>1</v>
      </c>
      <c r="X108">
        <v>0</v>
      </c>
    </row>
    <row r="109" spans="1:24">
      <c r="A109" s="21">
        <v>481</v>
      </c>
      <c r="B109" s="21" t="s">
        <v>100</v>
      </c>
      <c r="C109" s="534">
        <v>0</v>
      </c>
      <c r="D109" s="534">
        <v>0</v>
      </c>
      <c r="E109" s="534">
        <v>0</v>
      </c>
      <c r="F109" s="534">
        <v>0</v>
      </c>
      <c r="G109" s="534">
        <v>0</v>
      </c>
      <c r="H109" s="534">
        <v>0</v>
      </c>
      <c r="I109" s="534">
        <v>0</v>
      </c>
      <c r="J109" s="534">
        <v>0</v>
      </c>
      <c r="K109" s="534">
        <v>0</v>
      </c>
      <c r="L109" s="534">
        <v>0</v>
      </c>
      <c r="M109" s="534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</row>
    <row r="110" spans="1:24">
      <c r="A110" s="21">
        <v>482</v>
      </c>
      <c r="B110" s="21" t="s">
        <v>101</v>
      </c>
      <c r="C110" s="534">
        <v>0</v>
      </c>
      <c r="D110" s="534">
        <v>0</v>
      </c>
      <c r="E110" s="534">
        <v>0</v>
      </c>
      <c r="F110" s="534">
        <v>0</v>
      </c>
      <c r="G110" s="534">
        <v>0</v>
      </c>
      <c r="H110" s="534">
        <v>0</v>
      </c>
      <c r="I110" s="534">
        <v>0</v>
      </c>
      <c r="J110" s="534">
        <v>0</v>
      </c>
      <c r="K110" s="534">
        <v>0</v>
      </c>
      <c r="L110" s="534">
        <v>0</v>
      </c>
      <c r="M110" s="534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2</v>
      </c>
    </row>
    <row r="111" spans="1:24">
      <c r="A111" s="21">
        <v>483</v>
      </c>
      <c r="B111" s="21" t="s">
        <v>102</v>
      </c>
      <c r="C111" s="534">
        <v>0</v>
      </c>
      <c r="D111" s="534">
        <v>0</v>
      </c>
      <c r="E111" s="534">
        <v>0</v>
      </c>
      <c r="F111" s="534">
        <v>2</v>
      </c>
      <c r="G111" s="534">
        <v>0</v>
      </c>
      <c r="H111" s="534">
        <v>0</v>
      </c>
      <c r="I111" s="534">
        <v>1</v>
      </c>
      <c r="J111" s="534">
        <v>0</v>
      </c>
      <c r="K111" s="534">
        <v>0</v>
      </c>
      <c r="L111" s="534">
        <v>0</v>
      </c>
      <c r="M111" s="534">
        <v>0</v>
      </c>
      <c r="N111">
        <v>0</v>
      </c>
      <c r="O111">
        <v>0</v>
      </c>
      <c r="P111">
        <v>1</v>
      </c>
      <c r="Q111">
        <v>1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1</v>
      </c>
    </row>
    <row r="112" spans="1:24">
      <c r="A112" s="21">
        <v>484</v>
      </c>
      <c r="B112" s="21" t="s">
        <v>103</v>
      </c>
      <c r="C112" s="534">
        <v>1</v>
      </c>
      <c r="D112" s="534">
        <v>0</v>
      </c>
      <c r="E112" s="534">
        <v>0</v>
      </c>
      <c r="F112" s="534">
        <v>0</v>
      </c>
      <c r="G112" s="534">
        <v>0</v>
      </c>
      <c r="H112" s="534">
        <v>0</v>
      </c>
      <c r="I112" s="534">
        <v>0</v>
      </c>
      <c r="J112" s="534">
        <v>1</v>
      </c>
      <c r="K112" s="534">
        <v>0</v>
      </c>
      <c r="L112" s="534">
        <v>0</v>
      </c>
      <c r="M112" s="534">
        <v>0</v>
      </c>
      <c r="N112">
        <v>0</v>
      </c>
      <c r="O112">
        <v>0</v>
      </c>
      <c r="P112">
        <v>1</v>
      </c>
      <c r="Q112">
        <v>0</v>
      </c>
      <c r="R112">
        <v>1</v>
      </c>
      <c r="S112">
        <v>0</v>
      </c>
      <c r="T112">
        <v>2</v>
      </c>
      <c r="U112">
        <v>0</v>
      </c>
      <c r="V112">
        <v>0</v>
      </c>
      <c r="W112">
        <v>0</v>
      </c>
      <c r="X112">
        <v>0</v>
      </c>
    </row>
    <row r="113" spans="1:24">
      <c r="A113" s="21">
        <v>490</v>
      </c>
      <c r="B113" s="21" t="s">
        <v>104</v>
      </c>
      <c r="C113" s="534">
        <v>2</v>
      </c>
      <c r="D113" s="534">
        <v>0</v>
      </c>
      <c r="E113" s="534">
        <v>1</v>
      </c>
      <c r="F113" s="534">
        <v>1</v>
      </c>
      <c r="G113" s="534">
        <v>0</v>
      </c>
      <c r="H113" s="534">
        <v>0</v>
      </c>
      <c r="I113" s="534">
        <v>0</v>
      </c>
      <c r="J113" s="534">
        <v>2</v>
      </c>
      <c r="K113" s="534">
        <v>0</v>
      </c>
      <c r="L113" s="534">
        <v>0</v>
      </c>
      <c r="M113" s="534">
        <v>1</v>
      </c>
      <c r="N113">
        <v>2</v>
      </c>
      <c r="O113">
        <v>0</v>
      </c>
      <c r="P113">
        <v>2</v>
      </c>
      <c r="Q113">
        <v>2</v>
      </c>
      <c r="R113">
        <v>0</v>
      </c>
      <c r="S113">
        <v>2</v>
      </c>
      <c r="T113">
        <v>2</v>
      </c>
      <c r="U113">
        <v>1</v>
      </c>
      <c r="V113">
        <v>0</v>
      </c>
      <c r="W113">
        <v>0</v>
      </c>
      <c r="X113">
        <v>0</v>
      </c>
    </row>
    <row r="114" spans="1:24">
      <c r="A114" s="21">
        <v>500</v>
      </c>
      <c r="B114" s="21" t="s">
        <v>105</v>
      </c>
      <c r="C114" s="534">
        <v>0</v>
      </c>
      <c r="D114" s="534">
        <v>0</v>
      </c>
      <c r="E114" s="534">
        <v>0</v>
      </c>
      <c r="F114" s="534">
        <v>0</v>
      </c>
      <c r="G114" s="534">
        <v>0</v>
      </c>
      <c r="H114" s="534">
        <v>0</v>
      </c>
      <c r="I114" s="534">
        <v>0</v>
      </c>
      <c r="J114" s="534">
        <v>2</v>
      </c>
      <c r="K114" s="534">
        <v>0</v>
      </c>
      <c r="L114" s="534">
        <v>2</v>
      </c>
      <c r="M114" s="534">
        <v>0</v>
      </c>
      <c r="N114">
        <v>1</v>
      </c>
      <c r="O114">
        <v>0</v>
      </c>
      <c r="P114">
        <v>0</v>
      </c>
      <c r="Q114">
        <v>1</v>
      </c>
      <c r="R114">
        <v>2</v>
      </c>
      <c r="S114">
        <v>1</v>
      </c>
      <c r="T114">
        <v>2</v>
      </c>
      <c r="U114">
        <v>1</v>
      </c>
      <c r="V114">
        <v>1</v>
      </c>
      <c r="W114">
        <v>1</v>
      </c>
      <c r="X114">
        <v>2</v>
      </c>
    </row>
    <row r="115" spans="1:24">
      <c r="A115" s="21">
        <v>501</v>
      </c>
      <c r="B115" s="21" t="s">
        <v>106</v>
      </c>
      <c r="C115" s="534">
        <v>0</v>
      </c>
      <c r="D115" s="534">
        <v>0</v>
      </c>
      <c r="E115" s="534">
        <v>0</v>
      </c>
      <c r="F115" s="534">
        <v>0</v>
      </c>
      <c r="G115" s="534">
        <v>0</v>
      </c>
      <c r="H115" s="534">
        <v>0</v>
      </c>
      <c r="I115" s="534">
        <v>0</v>
      </c>
      <c r="J115" s="534">
        <v>1</v>
      </c>
      <c r="K115" s="534">
        <v>0</v>
      </c>
      <c r="L115" s="534">
        <v>2</v>
      </c>
      <c r="M115" s="534">
        <v>0</v>
      </c>
      <c r="N115">
        <v>0</v>
      </c>
      <c r="O115">
        <v>0</v>
      </c>
      <c r="P115">
        <v>0</v>
      </c>
      <c r="Q115">
        <v>0</v>
      </c>
      <c r="R115">
        <v>2</v>
      </c>
      <c r="S115">
        <v>0</v>
      </c>
      <c r="T115">
        <v>1</v>
      </c>
      <c r="U115">
        <v>0</v>
      </c>
      <c r="V115">
        <v>1</v>
      </c>
      <c r="W115">
        <v>0</v>
      </c>
      <c r="X115">
        <v>0</v>
      </c>
    </row>
    <row r="116" spans="1:24">
      <c r="A116" s="21">
        <v>510</v>
      </c>
      <c r="B116" s="21" t="s">
        <v>107</v>
      </c>
      <c r="C116" s="534">
        <v>0</v>
      </c>
      <c r="D116" s="534">
        <v>0</v>
      </c>
      <c r="E116" s="534">
        <v>0</v>
      </c>
      <c r="F116" s="534">
        <v>0</v>
      </c>
      <c r="G116" s="534">
        <v>0</v>
      </c>
      <c r="H116" s="534">
        <v>0</v>
      </c>
      <c r="I116" s="534">
        <v>0</v>
      </c>
      <c r="J116" s="534">
        <v>0</v>
      </c>
      <c r="K116" s="534">
        <v>0</v>
      </c>
      <c r="L116" s="534">
        <v>0</v>
      </c>
      <c r="M116" s="534">
        <v>0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0</v>
      </c>
      <c r="T116">
        <v>1</v>
      </c>
      <c r="U116">
        <v>0</v>
      </c>
      <c r="V116">
        <v>0</v>
      </c>
      <c r="W116">
        <v>1</v>
      </c>
      <c r="X116">
        <v>0</v>
      </c>
    </row>
    <row r="117" spans="1:24">
      <c r="A117" s="21">
        <v>516</v>
      </c>
      <c r="B117" s="21" t="s">
        <v>108</v>
      </c>
      <c r="C117" s="534">
        <v>0</v>
      </c>
      <c r="D117" s="534">
        <v>0</v>
      </c>
      <c r="E117" s="534">
        <v>0</v>
      </c>
      <c r="F117" s="534">
        <v>0</v>
      </c>
      <c r="G117" s="534">
        <v>0</v>
      </c>
      <c r="H117" s="534">
        <v>0</v>
      </c>
      <c r="I117" s="534">
        <v>0</v>
      </c>
      <c r="J117" s="534">
        <v>0</v>
      </c>
      <c r="K117" s="534">
        <v>0</v>
      </c>
      <c r="L117" s="534">
        <v>0</v>
      </c>
      <c r="M117" s="534">
        <v>0</v>
      </c>
      <c r="N117">
        <v>0</v>
      </c>
      <c r="O117">
        <v>0</v>
      </c>
      <c r="P117">
        <v>0</v>
      </c>
      <c r="Q117">
        <v>0</v>
      </c>
      <c r="R117">
        <v>1</v>
      </c>
      <c r="S117">
        <v>0</v>
      </c>
      <c r="T117">
        <v>1</v>
      </c>
      <c r="U117">
        <v>0</v>
      </c>
      <c r="V117">
        <v>0</v>
      </c>
      <c r="W117">
        <v>1</v>
      </c>
      <c r="X117">
        <v>0</v>
      </c>
    </row>
    <row r="118" spans="1:24">
      <c r="A118" s="21">
        <v>517</v>
      </c>
      <c r="B118" s="21" t="s">
        <v>109</v>
      </c>
      <c r="C118" s="534">
        <v>0</v>
      </c>
      <c r="D118" s="534">
        <v>0</v>
      </c>
      <c r="E118" s="534">
        <v>0</v>
      </c>
      <c r="F118" s="534">
        <v>0</v>
      </c>
      <c r="G118" s="534">
        <v>0</v>
      </c>
      <c r="H118" s="534">
        <v>0</v>
      </c>
      <c r="I118" s="534">
        <v>0</v>
      </c>
      <c r="J118" s="534">
        <v>0</v>
      </c>
      <c r="K118" s="534">
        <v>0</v>
      </c>
      <c r="L118" s="534">
        <v>0</v>
      </c>
      <c r="M118" s="534">
        <v>0</v>
      </c>
      <c r="N118">
        <v>1</v>
      </c>
      <c r="O118">
        <v>0</v>
      </c>
      <c r="P118">
        <v>0</v>
      </c>
      <c r="Q118">
        <v>0</v>
      </c>
      <c r="R118">
        <v>0</v>
      </c>
      <c r="S118">
        <v>1</v>
      </c>
      <c r="T118">
        <v>0</v>
      </c>
      <c r="U118">
        <v>1</v>
      </c>
      <c r="V118">
        <v>1</v>
      </c>
      <c r="W118">
        <v>1</v>
      </c>
      <c r="X118">
        <v>1</v>
      </c>
    </row>
    <row r="119" spans="1:24">
      <c r="A119" s="21">
        <v>520</v>
      </c>
      <c r="B119" s="21" t="s">
        <v>110</v>
      </c>
      <c r="C119" s="534">
        <v>1</v>
      </c>
      <c r="D119" s="534">
        <v>0</v>
      </c>
      <c r="E119" s="534">
        <v>1</v>
      </c>
      <c r="F119" s="534">
        <v>0</v>
      </c>
      <c r="G119" s="534">
        <v>1</v>
      </c>
      <c r="H119" s="534">
        <v>1</v>
      </c>
      <c r="I119" s="534">
        <v>0</v>
      </c>
      <c r="J119" s="534">
        <v>1</v>
      </c>
      <c r="K119" s="534">
        <v>0</v>
      </c>
      <c r="L119" s="534">
        <v>1</v>
      </c>
      <c r="M119" s="534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</row>
    <row r="120" spans="1:24">
      <c r="A120" s="21">
        <v>522</v>
      </c>
      <c r="B120" s="21" t="s">
        <v>111</v>
      </c>
      <c r="C120" s="534">
        <v>0</v>
      </c>
      <c r="D120" s="534">
        <v>0</v>
      </c>
      <c r="E120" s="534">
        <v>0</v>
      </c>
      <c r="F120" s="534">
        <v>0</v>
      </c>
      <c r="G120" s="534">
        <v>0</v>
      </c>
      <c r="H120" s="534">
        <v>0</v>
      </c>
      <c r="I120" s="534">
        <v>1</v>
      </c>
      <c r="J120" s="534">
        <v>0</v>
      </c>
      <c r="K120" s="534">
        <v>0</v>
      </c>
      <c r="L120" s="534">
        <v>0</v>
      </c>
      <c r="M120" s="534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1</v>
      </c>
      <c r="V120">
        <v>0</v>
      </c>
      <c r="W120">
        <v>0</v>
      </c>
      <c r="X120">
        <v>0</v>
      </c>
    </row>
    <row r="121" spans="1:24">
      <c r="A121" s="21">
        <v>530</v>
      </c>
      <c r="B121" s="21" t="s">
        <v>112</v>
      </c>
      <c r="C121" s="534">
        <v>1</v>
      </c>
      <c r="D121" s="534">
        <v>0</v>
      </c>
      <c r="E121" s="534">
        <v>1</v>
      </c>
      <c r="F121" s="534">
        <v>1</v>
      </c>
      <c r="G121" s="534">
        <v>1</v>
      </c>
      <c r="H121" s="534">
        <v>1</v>
      </c>
      <c r="I121" s="534">
        <v>1</v>
      </c>
      <c r="J121" s="534">
        <v>2</v>
      </c>
      <c r="K121" s="534">
        <v>1</v>
      </c>
      <c r="L121" s="534">
        <v>0</v>
      </c>
      <c r="M121" s="534">
        <v>0</v>
      </c>
      <c r="N121">
        <v>0</v>
      </c>
      <c r="O121">
        <v>0</v>
      </c>
      <c r="P121">
        <v>0</v>
      </c>
      <c r="Q121">
        <v>1</v>
      </c>
      <c r="R121">
        <v>0</v>
      </c>
      <c r="S121">
        <v>0</v>
      </c>
      <c r="T121">
        <v>1</v>
      </c>
      <c r="U121">
        <v>1</v>
      </c>
      <c r="V121">
        <v>1</v>
      </c>
      <c r="W121">
        <v>0</v>
      </c>
      <c r="X121">
        <v>0</v>
      </c>
    </row>
    <row r="122" spans="1:24">
      <c r="A122" s="21">
        <v>531</v>
      </c>
      <c r="B122" s="21" t="s">
        <v>113</v>
      </c>
      <c r="C122" s="534">
        <v>0</v>
      </c>
      <c r="D122" s="534">
        <v>0</v>
      </c>
      <c r="E122" s="534">
        <v>0</v>
      </c>
      <c r="F122" s="534">
        <v>0</v>
      </c>
      <c r="G122" s="534">
        <v>0</v>
      </c>
      <c r="H122" s="534">
        <v>0</v>
      </c>
      <c r="I122" s="534">
        <v>0</v>
      </c>
      <c r="J122" s="534">
        <v>0</v>
      </c>
      <c r="K122" s="534">
        <v>0</v>
      </c>
      <c r="L122" s="534">
        <v>0</v>
      </c>
      <c r="M122" s="534">
        <v>0</v>
      </c>
      <c r="N122">
        <v>0</v>
      </c>
      <c r="O122">
        <v>0</v>
      </c>
      <c r="P122">
        <v>0</v>
      </c>
      <c r="Q122">
        <v>1</v>
      </c>
      <c r="R122">
        <v>2</v>
      </c>
      <c r="S122">
        <v>1</v>
      </c>
      <c r="T122">
        <v>1</v>
      </c>
      <c r="U122">
        <v>2</v>
      </c>
      <c r="V122">
        <v>1</v>
      </c>
      <c r="W122">
        <v>0</v>
      </c>
      <c r="X122">
        <v>0</v>
      </c>
    </row>
    <row r="123" spans="1:24">
      <c r="A123" s="21">
        <v>540</v>
      </c>
      <c r="B123" s="21" t="s">
        <v>114</v>
      </c>
      <c r="C123" s="534">
        <v>0</v>
      </c>
      <c r="D123" s="534">
        <v>0</v>
      </c>
      <c r="E123" s="534">
        <v>0</v>
      </c>
      <c r="F123" s="534">
        <v>0</v>
      </c>
      <c r="G123" s="534">
        <v>0</v>
      </c>
      <c r="H123" s="534">
        <v>0</v>
      </c>
      <c r="I123" s="534">
        <v>0</v>
      </c>
      <c r="J123" s="534">
        <v>0</v>
      </c>
      <c r="K123" s="534">
        <v>1</v>
      </c>
      <c r="L123" s="534">
        <v>0</v>
      </c>
      <c r="M123" s="534">
        <v>0</v>
      </c>
      <c r="N123">
        <v>0</v>
      </c>
      <c r="O123">
        <v>0</v>
      </c>
      <c r="P123">
        <v>0</v>
      </c>
      <c r="Q123">
        <v>1</v>
      </c>
      <c r="R123">
        <v>1</v>
      </c>
      <c r="S123">
        <v>0</v>
      </c>
      <c r="T123">
        <v>2</v>
      </c>
      <c r="U123">
        <v>0</v>
      </c>
      <c r="V123">
        <v>0</v>
      </c>
      <c r="W123">
        <v>0</v>
      </c>
      <c r="X123">
        <v>1</v>
      </c>
    </row>
    <row r="124" spans="1:24">
      <c r="A124" s="21">
        <v>541</v>
      </c>
      <c r="B124" s="21" t="s">
        <v>115</v>
      </c>
      <c r="C124" s="534">
        <v>0</v>
      </c>
      <c r="D124" s="534">
        <v>0</v>
      </c>
      <c r="E124" s="534">
        <v>0</v>
      </c>
      <c r="F124" s="534">
        <v>1</v>
      </c>
      <c r="G124" s="534">
        <v>0</v>
      </c>
      <c r="H124" s="534">
        <v>0</v>
      </c>
      <c r="I124" s="534">
        <v>1</v>
      </c>
      <c r="J124" s="534">
        <v>1</v>
      </c>
      <c r="K124" s="534">
        <v>0</v>
      </c>
      <c r="L124" s="534">
        <v>0</v>
      </c>
      <c r="M124" s="534">
        <v>0</v>
      </c>
      <c r="N124">
        <v>0</v>
      </c>
      <c r="O124">
        <v>0</v>
      </c>
      <c r="P124">
        <v>0</v>
      </c>
      <c r="Q124">
        <v>1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</row>
    <row r="125" spans="1:24">
      <c r="A125" s="21">
        <v>551</v>
      </c>
      <c r="B125" s="21" t="s">
        <v>116</v>
      </c>
      <c r="C125" s="534">
        <v>1</v>
      </c>
      <c r="D125" s="534">
        <v>0</v>
      </c>
      <c r="E125" s="534">
        <v>1</v>
      </c>
      <c r="F125" s="534">
        <v>1</v>
      </c>
      <c r="G125" s="534">
        <v>0</v>
      </c>
      <c r="H125" s="534">
        <v>0</v>
      </c>
      <c r="I125" s="534">
        <v>2</v>
      </c>
      <c r="J125" s="534">
        <v>1</v>
      </c>
      <c r="K125" s="534">
        <v>0</v>
      </c>
      <c r="L125" s="534">
        <v>0</v>
      </c>
      <c r="M125" s="534">
        <v>1</v>
      </c>
      <c r="N125">
        <v>0</v>
      </c>
      <c r="O125">
        <v>0</v>
      </c>
      <c r="P125">
        <v>0</v>
      </c>
      <c r="Q125">
        <v>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1</v>
      </c>
    </row>
    <row r="126" spans="1:24">
      <c r="A126" s="21">
        <v>552</v>
      </c>
      <c r="B126" s="21" t="s">
        <v>117</v>
      </c>
      <c r="C126" s="534">
        <v>0</v>
      </c>
      <c r="D126" s="534">
        <v>0</v>
      </c>
      <c r="E126" s="534">
        <v>0</v>
      </c>
      <c r="F126" s="534">
        <v>0</v>
      </c>
      <c r="G126" s="534">
        <v>0</v>
      </c>
      <c r="H126" s="534">
        <v>0</v>
      </c>
      <c r="I126" s="534">
        <v>2</v>
      </c>
      <c r="J126" s="534">
        <v>0</v>
      </c>
      <c r="K126" s="534">
        <v>1</v>
      </c>
      <c r="L126" s="534">
        <v>0</v>
      </c>
      <c r="M126" s="534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1:24">
      <c r="A127" s="21">
        <v>553</v>
      </c>
      <c r="B127" s="21" t="s">
        <v>118</v>
      </c>
      <c r="C127" s="534">
        <v>0</v>
      </c>
      <c r="D127" s="534">
        <v>0</v>
      </c>
      <c r="E127" s="534">
        <v>0</v>
      </c>
      <c r="F127" s="534">
        <v>0</v>
      </c>
      <c r="G127" s="534">
        <v>0</v>
      </c>
      <c r="H127" s="534">
        <v>0</v>
      </c>
      <c r="I127" s="534">
        <v>3</v>
      </c>
      <c r="J127" s="534">
        <v>0</v>
      </c>
      <c r="K127" s="534">
        <v>0</v>
      </c>
      <c r="L127" s="534">
        <v>0</v>
      </c>
      <c r="M127" s="534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</row>
    <row r="128" spans="1:24">
      <c r="A128" s="21">
        <v>560</v>
      </c>
      <c r="B128" s="21" t="s">
        <v>119</v>
      </c>
      <c r="C128" s="534">
        <v>0</v>
      </c>
      <c r="D128" s="534">
        <v>0</v>
      </c>
      <c r="E128" s="534">
        <v>1</v>
      </c>
      <c r="F128" s="534">
        <v>1</v>
      </c>
      <c r="G128" s="534">
        <v>1</v>
      </c>
      <c r="H128" s="534">
        <v>1</v>
      </c>
      <c r="I128" s="534">
        <v>4</v>
      </c>
      <c r="J128" s="534">
        <v>3</v>
      </c>
      <c r="K128" s="534">
        <v>3</v>
      </c>
      <c r="L128" s="534">
        <v>0</v>
      </c>
      <c r="M128" s="534">
        <v>0</v>
      </c>
      <c r="N128">
        <v>0</v>
      </c>
      <c r="O128">
        <v>0</v>
      </c>
      <c r="P128">
        <v>0</v>
      </c>
      <c r="Q128">
        <v>2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</row>
    <row r="129" spans="1:24">
      <c r="A129" s="21">
        <v>565</v>
      </c>
      <c r="B129" s="21" t="s">
        <v>120</v>
      </c>
      <c r="C129" s="534">
        <v>0</v>
      </c>
      <c r="D129" s="534">
        <v>0</v>
      </c>
      <c r="E129" s="534">
        <v>0</v>
      </c>
      <c r="F129" s="534">
        <v>0</v>
      </c>
      <c r="G129" s="534">
        <v>0</v>
      </c>
      <c r="H129" s="534">
        <v>0</v>
      </c>
      <c r="I129" s="534">
        <v>0</v>
      </c>
      <c r="J129" s="534">
        <v>0</v>
      </c>
      <c r="K129" s="534">
        <v>0</v>
      </c>
      <c r="L129" s="534">
        <v>0</v>
      </c>
      <c r="M129" s="534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1</v>
      </c>
      <c r="U129">
        <v>0</v>
      </c>
      <c r="V129">
        <v>0</v>
      </c>
      <c r="W129">
        <v>0</v>
      </c>
      <c r="X129">
        <v>0</v>
      </c>
    </row>
    <row r="130" spans="1:24">
      <c r="A130" s="21">
        <v>570</v>
      </c>
      <c r="B130" s="21" t="s">
        <v>121</v>
      </c>
      <c r="C130" s="534">
        <v>0</v>
      </c>
      <c r="D130" s="534">
        <v>0</v>
      </c>
      <c r="E130" s="534">
        <v>1</v>
      </c>
      <c r="F130" s="534">
        <v>0</v>
      </c>
      <c r="G130" s="534">
        <v>0</v>
      </c>
      <c r="H130" s="534">
        <v>0</v>
      </c>
      <c r="I130" s="534">
        <v>0</v>
      </c>
      <c r="J130" s="534">
        <v>0</v>
      </c>
      <c r="K130" s="534">
        <v>0</v>
      </c>
      <c r="L130" s="534">
        <v>0</v>
      </c>
      <c r="M130" s="534">
        <v>0</v>
      </c>
      <c r="N130">
        <v>0</v>
      </c>
      <c r="O130">
        <v>0</v>
      </c>
      <c r="P130">
        <v>0</v>
      </c>
      <c r="Q130">
        <v>2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>
      <c r="A131" s="21">
        <v>571</v>
      </c>
      <c r="B131" s="21" t="s">
        <v>122</v>
      </c>
      <c r="C131" s="534">
        <v>0</v>
      </c>
      <c r="D131" s="534">
        <v>0</v>
      </c>
      <c r="E131" s="534">
        <v>0</v>
      </c>
      <c r="F131" s="534">
        <v>0</v>
      </c>
      <c r="G131" s="534">
        <v>1</v>
      </c>
      <c r="H131" s="534">
        <v>1</v>
      </c>
      <c r="I131" s="534">
        <v>1</v>
      </c>
      <c r="J131" s="534">
        <v>1</v>
      </c>
      <c r="K131" s="534">
        <v>2</v>
      </c>
      <c r="L131" s="534">
        <v>0</v>
      </c>
      <c r="M131" s="534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0</v>
      </c>
      <c r="X131">
        <v>0</v>
      </c>
    </row>
    <row r="132" spans="1:24">
      <c r="A132" s="21">
        <v>572</v>
      </c>
      <c r="B132" s="21" t="s">
        <v>123</v>
      </c>
      <c r="C132" s="534">
        <v>0</v>
      </c>
      <c r="D132" s="534">
        <v>0</v>
      </c>
      <c r="E132" s="534">
        <v>0</v>
      </c>
      <c r="F132" s="534">
        <v>0</v>
      </c>
      <c r="G132" s="534">
        <v>0</v>
      </c>
      <c r="H132" s="534">
        <v>0</v>
      </c>
      <c r="I132" s="534">
        <v>1</v>
      </c>
      <c r="J132" s="534">
        <v>0</v>
      </c>
      <c r="K132" s="534">
        <v>1</v>
      </c>
      <c r="L132" s="534">
        <v>0</v>
      </c>
      <c r="M132" s="534">
        <v>0</v>
      </c>
      <c r="N132">
        <v>0</v>
      </c>
      <c r="O132">
        <v>0</v>
      </c>
      <c r="P132">
        <v>0</v>
      </c>
      <c r="Q132">
        <v>1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</row>
    <row r="133" spans="1:24">
      <c r="A133" s="21">
        <v>580</v>
      </c>
      <c r="B133" s="21" t="s">
        <v>124</v>
      </c>
      <c r="C133" s="534">
        <v>0</v>
      </c>
      <c r="D133" s="534">
        <v>0</v>
      </c>
      <c r="E133" s="534">
        <v>0</v>
      </c>
      <c r="F133" s="534">
        <v>0</v>
      </c>
      <c r="G133" s="534">
        <v>0</v>
      </c>
      <c r="H133" s="534">
        <v>0</v>
      </c>
      <c r="I133" s="534">
        <v>0</v>
      </c>
      <c r="J133" s="534">
        <v>0</v>
      </c>
      <c r="K133" s="534">
        <v>0</v>
      </c>
      <c r="L133" s="534">
        <v>0</v>
      </c>
      <c r="M133" s="534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</row>
    <row r="134" spans="1:24">
      <c r="A134" s="21">
        <v>581</v>
      </c>
      <c r="B134" s="21" t="s">
        <v>125</v>
      </c>
      <c r="C134" s="534">
        <v>0</v>
      </c>
      <c r="D134" s="534">
        <v>0</v>
      </c>
      <c r="E134" s="534">
        <v>0</v>
      </c>
      <c r="F134" s="534">
        <v>0</v>
      </c>
      <c r="G134" s="534">
        <v>0</v>
      </c>
      <c r="H134" s="534">
        <v>0</v>
      </c>
      <c r="I134" s="534">
        <v>0</v>
      </c>
      <c r="J134" s="534">
        <v>0</v>
      </c>
      <c r="K134" s="534">
        <v>0</v>
      </c>
      <c r="L134" s="534">
        <v>1</v>
      </c>
      <c r="M134" s="5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</row>
    <row r="135" spans="1:24">
      <c r="A135" s="21">
        <v>590</v>
      </c>
      <c r="B135" s="21" t="s">
        <v>126</v>
      </c>
      <c r="C135" s="534">
        <v>0</v>
      </c>
      <c r="D135" s="534">
        <v>0</v>
      </c>
      <c r="E135" s="534">
        <v>0</v>
      </c>
      <c r="F135" s="534">
        <v>0</v>
      </c>
      <c r="G135" s="534">
        <v>0</v>
      </c>
      <c r="H135" s="534">
        <v>0</v>
      </c>
      <c r="I135" s="534">
        <v>0</v>
      </c>
      <c r="J135" s="534">
        <v>0</v>
      </c>
      <c r="K135" s="534">
        <v>0</v>
      </c>
      <c r="L135" s="534">
        <v>0</v>
      </c>
      <c r="M135" s="534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</row>
    <row r="136" spans="1:24">
      <c r="A136" s="21">
        <v>591</v>
      </c>
      <c r="B136" s="21" t="s">
        <v>127</v>
      </c>
      <c r="C136" s="534">
        <v>0</v>
      </c>
      <c r="D136" s="534">
        <v>0</v>
      </c>
      <c r="E136" s="534">
        <v>0</v>
      </c>
      <c r="F136" s="534">
        <v>0</v>
      </c>
      <c r="G136" s="534">
        <v>0</v>
      </c>
      <c r="H136" s="534">
        <v>0</v>
      </c>
      <c r="I136" s="534">
        <v>0</v>
      </c>
      <c r="J136" s="534">
        <v>0</v>
      </c>
      <c r="K136" s="534">
        <v>0</v>
      </c>
      <c r="L136" s="534">
        <v>0</v>
      </c>
      <c r="M136" s="534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</row>
    <row r="137" spans="1:24">
      <c r="A137" s="21">
        <v>600</v>
      </c>
      <c r="B137" s="21" t="s">
        <v>128</v>
      </c>
      <c r="C137" s="534">
        <v>4</v>
      </c>
      <c r="D137" s="534">
        <v>1</v>
      </c>
      <c r="E137" s="534">
        <v>0</v>
      </c>
      <c r="F137" s="534">
        <v>0</v>
      </c>
      <c r="G137" s="534">
        <v>1</v>
      </c>
      <c r="H137" s="534">
        <v>0</v>
      </c>
      <c r="I137" s="534">
        <v>0</v>
      </c>
      <c r="J137" s="534">
        <v>1</v>
      </c>
      <c r="K137" s="534">
        <v>0</v>
      </c>
      <c r="L137" s="534">
        <v>0</v>
      </c>
      <c r="M137" s="534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1</v>
      </c>
      <c r="X137">
        <v>0</v>
      </c>
    </row>
    <row r="138" spans="1:24">
      <c r="A138" s="21">
        <v>615</v>
      </c>
      <c r="B138" s="21" t="s">
        <v>129</v>
      </c>
      <c r="C138" s="534">
        <v>1</v>
      </c>
      <c r="D138" s="534">
        <v>0</v>
      </c>
      <c r="E138" s="534">
        <v>0</v>
      </c>
      <c r="F138" s="534">
        <v>0</v>
      </c>
      <c r="G138" s="534">
        <v>1</v>
      </c>
      <c r="H138" s="534">
        <v>0</v>
      </c>
      <c r="I138" s="534">
        <v>0</v>
      </c>
      <c r="J138" s="534">
        <v>0</v>
      </c>
      <c r="K138" s="534">
        <v>0</v>
      </c>
      <c r="L138" s="534">
        <v>0</v>
      </c>
      <c r="M138" s="534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</row>
    <row r="139" spans="1:24">
      <c r="A139" s="21">
        <v>616</v>
      </c>
      <c r="B139" s="21" t="s">
        <v>130</v>
      </c>
      <c r="C139" s="534">
        <v>1</v>
      </c>
      <c r="D139" s="534">
        <v>0</v>
      </c>
      <c r="E139" s="534">
        <v>0</v>
      </c>
      <c r="F139" s="534">
        <v>0</v>
      </c>
      <c r="G139" s="534">
        <v>0</v>
      </c>
      <c r="H139" s="534">
        <v>2</v>
      </c>
      <c r="I139" s="534">
        <v>0</v>
      </c>
      <c r="J139" s="534">
        <v>0</v>
      </c>
      <c r="K139" s="534">
        <v>0</v>
      </c>
      <c r="L139" s="534">
        <v>0</v>
      </c>
      <c r="M139" s="534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</row>
    <row r="140" spans="1:24">
      <c r="A140" s="21">
        <v>620</v>
      </c>
      <c r="B140" s="21" t="s">
        <v>131</v>
      </c>
      <c r="C140" s="534">
        <v>3</v>
      </c>
      <c r="D140" s="534">
        <v>2</v>
      </c>
      <c r="E140" s="534">
        <v>1</v>
      </c>
      <c r="F140" s="534">
        <v>4</v>
      </c>
      <c r="G140" s="534">
        <v>3</v>
      </c>
      <c r="H140" s="534">
        <v>2</v>
      </c>
      <c r="I140" s="534">
        <v>3</v>
      </c>
      <c r="J140" s="534">
        <v>0</v>
      </c>
      <c r="K140" s="534">
        <v>1</v>
      </c>
      <c r="L140" s="534">
        <v>0</v>
      </c>
      <c r="M140" s="534">
        <v>0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1</v>
      </c>
      <c r="T140">
        <v>0</v>
      </c>
      <c r="U140">
        <v>0</v>
      </c>
      <c r="V140">
        <v>0</v>
      </c>
      <c r="W140">
        <v>0</v>
      </c>
      <c r="X140">
        <v>0</v>
      </c>
    </row>
    <row r="141" spans="1:24">
      <c r="A141" s="21">
        <v>625</v>
      </c>
      <c r="B141" s="21" t="s">
        <v>132</v>
      </c>
      <c r="C141" s="534">
        <v>0</v>
      </c>
      <c r="D141" s="534">
        <v>1</v>
      </c>
      <c r="E141" s="534">
        <v>0</v>
      </c>
      <c r="F141" s="534">
        <v>2</v>
      </c>
      <c r="G141" s="534">
        <v>1</v>
      </c>
      <c r="H141" s="534">
        <v>0</v>
      </c>
      <c r="I141" s="534">
        <v>1</v>
      </c>
      <c r="J141" s="534">
        <v>1</v>
      </c>
      <c r="K141" s="534">
        <v>1</v>
      </c>
      <c r="L141" s="534">
        <v>1</v>
      </c>
      <c r="M141" s="534">
        <v>0</v>
      </c>
      <c r="N141">
        <v>1</v>
      </c>
      <c r="O141">
        <v>0</v>
      </c>
      <c r="P141">
        <v>1</v>
      </c>
      <c r="Q141">
        <v>4</v>
      </c>
      <c r="R141">
        <v>1</v>
      </c>
      <c r="S141">
        <v>2</v>
      </c>
      <c r="T141">
        <v>2</v>
      </c>
      <c r="U141">
        <v>2</v>
      </c>
      <c r="V141">
        <v>0</v>
      </c>
      <c r="W141">
        <v>0</v>
      </c>
      <c r="X141">
        <v>1</v>
      </c>
    </row>
    <row r="142" spans="1:24">
      <c r="A142" s="21">
        <v>630</v>
      </c>
      <c r="B142" s="21" t="s">
        <v>133</v>
      </c>
      <c r="C142" s="534">
        <v>4</v>
      </c>
      <c r="D142" s="534">
        <v>3</v>
      </c>
      <c r="E142" s="534">
        <v>3</v>
      </c>
      <c r="F142" s="534">
        <v>3</v>
      </c>
      <c r="G142" s="534">
        <v>6</v>
      </c>
      <c r="H142" s="534">
        <v>11</v>
      </c>
      <c r="I142" s="534">
        <v>10</v>
      </c>
      <c r="J142" s="534">
        <v>27</v>
      </c>
      <c r="K142" s="534">
        <v>8</v>
      </c>
      <c r="L142" s="534">
        <v>2</v>
      </c>
      <c r="M142" s="534">
        <v>0</v>
      </c>
      <c r="N142">
        <v>1</v>
      </c>
      <c r="O142">
        <v>2</v>
      </c>
      <c r="P142">
        <v>2</v>
      </c>
      <c r="Q142">
        <v>2</v>
      </c>
      <c r="R142">
        <v>1</v>
      </c>
      <c r="S142">
        <v>2</v>
      </c>
      <c r="T142">
        <v>3</v>
      </c>
      <c r="U142">
        <v>1</v>
      </c>
      <c r="V142">
        <v>3</v>
      </c>
      <c r="W142">
        <v>0</v>
      </c>
      <c r="X142">
        <v>2</v>
      </c>
    </row>
    <row r="143" spans="1:24">
      <c r="A143" s="21">
        <v>640</v>
      </c>
      <c r="B143" s="21" t="s">
        <v>134</v>
      </c>
      <c r="C143" s="534">
        <v>0</v>
      </c>
      <c r="D143" s="534">
        <v>2</v>
      </c>
      <c r="E143" s="534">
        <v>1</v>
      </c>
      <c r="F143" s="534">
        <v>0</v>
      </c>
      <c r="G143" s="534">
        <v>2</v>
      </c>
      <c r="H143" s="534">
        <v>1</v>
      </c>
      <c r="I143" s="534">
        <v>4</v>
      </c>
      <c r="J143" s="534">
        <v>4</v>
      </c>
      <c r="K143" s="534">
        <v>1</v>
      </c>
      <c r="L143" s="534">
        <v>2</v>
      </c>
      <c r="M143" s="534">
        <v>0</v>
      </c>
      <c r="N143">
        <v>1</v>
      </c>
      <c r="O143">
        <v>1</v>
      </c>
      <c r="P143">
        <v>3</v>
      </c>
      <c r="Q143">
        <v>2</v>
      </c>
      <c r="R143">
        <v>2</v>
      </c>
      <c r="S143">
        <v>5</v>
      </c>
      <c r="T143">
        <v>4</v>
      </c>
      <c r="U143">
        <v>1</v>
      </c>
      <c r="V143">
        <v>4</v>
      </c>
      <c r="W143">
        <v>5</v>
      </c>
      <c r="X143">
        <v>4</v>
      </c>
    </row>
    <row r="144" spans="1:24">
      <c r="A144" s="21">
        <v>645</v>
      </c>
      <c r="B144" s="21" t="s">
        <v>135</v>
      </c>
      <c r="C144" s="534">
        <v>1</v>
      </c>
      <c r="D144" s="534">
        <v>1</v>
      </c>
      <c r="E144" s="534">
        <v>3</v>
      </c>
      <c r="F144" s="534">
        <v>1</v>
      </c>
      <c r="G144" s="534">
        <v>8</v>
      </c>
      <c r="H144" s="534">
        <v>8</v>
      </c>
      <c r="I144" s="534">
        <v>3</v>
      </c>
      <c r="J144" s="534">
        <v>10</v>
      </c>
      <c r="K144" s="534">
        <v>5</v>
      </c>
      <c r="L144" s="534">
        <v>1</v>
      </c>
      <c r="M144" s="534">
        <v>2</v>
      </c>
      <c r="N144">
        <v>5</v>
      </c>
      <c r="O144">
        <v>3</v>
      </c>
      <c r="P144">
        <v>2</v>
      </c>
      <c r="Q144">
        <v>4</v>
      </c>
      <c r="R144">
        <v>1</v>
      </c>
      <c r="S144">
        <v>4</v>
      </c>
      <c r="T144">
        <v>2</v>
      </c>
      <c r="U144">
        <v>0</v>
      </c>
      <c r="V144">
        <v>4</v>
      </c>
      <c r="W144">
        <v>2</v>
      </c>
      <c r="X144">
        <v>1</v>
      </c>
    </row>
    <row r="145" spans="1:24">
      <c r="A145" s="21">
        <v>651</v>
      </c>
      <c r="B145" s="21" t="s">
        <v>136</v>
      </c>
      <c r="C145" s="534">
        <v>1</v>
      </c>
      <c r="D145" s="534">
        <v>0</v>
      </c>
      <c r="E145" s="534">
        <v>0</v>
      </c>
      <c r="F145" s="534">
        <v>2</v>
      </c>
      <c r="G145" s="534">
        <v>1</v>
      </c>
      <c r="H145" s="534">
        <v>1</v>
      </c>
      <c r="I145" s="534">
        <v>0</v>
      </c>
      <c r="J145" s="534">
        <v>0</v>
      </c>
      <c r="K145" s="534">
        <v>0</v>
      </c>
      <c r="L145" s="534">
        <v>1</v>
      </c>
      <c r="M145" s="534">
        <v>0</v>
      </c>
      <c r="N145">
        <v>1</v>
      </c>
      <c r="O145">
        <v>0</v>
      </c>
      <c r="P145">
        <v>2</v>
      </c>
      <c r="Q145">
        <v>1</v>
      </c>
      <c r="R145">
        <v>1</v>
      </c>
      <c r="S145">
        <v>1</v>
      </c>
      <c r="T145">
        <v>0</v>
      </c>
      <c r="U145">
        <v>0</v>
      </c>
      <c r="V145">
        <v>0</v>
      </c>
      <c r="W145">
        <v>0</v>
      </c>
      <c r="X145">
        <v>0</v>
      </c>
    </row>
    <row r="146" spans="1:24">
      <c r="A146" s="21">
        <v>652</v>
      </c>
      <c r="B146" s="21" t="s">
        <v>137</v>
      </c>
      <c r="C146" s="534">
        <v>2</v>
      </c>
      <c r="D146" s="534">
        <v>0</v>
      </c>
      <c r="E146" s="534">
        <v>3</v>
      </c>
      <c r="F146" s="534">
        <v>1</v>
      </c>
      <c r="G146" s="534">
        <v>0</v>
      </c>
      <c r="H146" s="534">
        <v>1</v>
      </c>
      <c r="I146" s="534">
        <v>0</v>
      </c>
      <c r="J146" s="534">
        <v>2</v>
      </c>
      <c r="K146" s="534">
        <v>0</v>
      </c>
      <c r="L146" s="534">
        <v>2</v>
      </c>
      <c r="M146" s="534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</v>
      </c>
      <c r="T146">
        <v>1</v>
      </c>
      <c r="U146">
        <v>1</v>
      </c>
      <c r="V146">
        <v>0</v>
      </c>
      <c r="W146">
        <v>0</v>
      </c>
      <c r="X146">
        <v>0</v>
      </c>
    </row>
    <row r="147" spans="1:24">
      <c r="A147" s="21">
        <v>660</v>
      </c>
      <c r="B147" s="21" t="s">
        <v>138</v>
      </c>
      <c r="C147" s="534">
        <v>1</v>
      </c>
      <c r="D147" s="534">
        <v>0</v>
      </c>
      <c r="E147" s="534">
        <v>1</v>
      </c>
      <c r="F147" s="534">
        <v>0</v>
      </c>
      <c r="G147" s="534">
        <v>0</v>
      </c>
      <c r="H147" s="534">
        <v>0</v>
      </c>
      <c r="I147" s="534">
        <v>0</v>
      </c>
      <c r="J147" s="534">
        <v>0</v>
      </c>
      <c r="K147" s="534">
        <v>0</v>
      </c>
      <c r="L147" s="534">
        <v>1</v>
      </c>
      <c r="M147" s="534">
        <v>0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</row>
    <row r="148" spans="1:24">
      <c r="A148" s="21">
        <v>663</v>
      </c>
      <c r="B148" s="21" t="s">
        <v>139</v>
      </c>
      <c r="C148" s="534">
        <v>1</v>
      </c>
      <c r="D148" s="534">
        <v>0</v>
      </c>
      <c r="E148" s="534">
        <v>1</v>
      </c>
      <c r="F148" s="534">
        <v>0</v>
      </c>
      <c r="G148" s="534">
        <v>0</v>
      </c>
      <c r="H148" s="534">
        <v>0</v>
      </c>
      <c r="I148" s="534">
        <v>0</v>
      </c>
      <c r="J148" s="534">
        <v>0</v>
      </c>
      <c r="K148" s="534">
        <v>0</v>
      </c>
      <c r="L148" s="534">
        <v>0</v>
      </c>
      <c r="M148" s="534">
        <v>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1</v>
      </c>
      <c r="X148">
        <v>0</v>
      </c>
    </row>
    <row r="149" spans="1:24">
      <c r="A149" s="21">
        <v>666</v>
      </c>
      <c r="B149" s="21" t="s">
        <v>140</v>
      </c>
      <c r="C149" s="534">
        <v>2</v>
      </c>
      <c r="D149" s="534">
        <v>2</v>
      </c>
      <c r="E149" s="534">
        <v>2</v>
      </c>
      <c r="F149" s="534">
        <v>1</v>
      </c>
      <c r="G149" s="534">
        <v>0</v>
      </c>
      <c r="H149" s="534">
        <v>2</v>
      </c>
      <c r="I149" s="534">
        <v>1</v>
      </c>
      <c r="J149" s="534">
        <v>1</v>
      </c>
      <c r="K149" s="534">
        <v>0</v>
      </c>
      <c r="L149" s="534">
        <v>1</v>
      </c>
      <c r="M149" s="534">
        <v>2</v>
      </c>
      <c r="N149">
        <v>1</v>
      </c>
      <c r="O149">
        <v>0</v>
      </c>
      <c r="P149">
        <v>1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</row>
    <row r="150" spans="1:24">
      <c r="A150" s="21">
        <v>670</v>
      </c>
      <c r="B150" s="21" t="s">
        <v>141</v>
      </c>
      <c r="C150" s="534">
        <v>1</v>
      </c>
      <c r="D150" s="534">
        <v>1</v>
      </c>
      <c r="E150" s="534">
        <v>0</v>
      </c>
      <c r="F150" s="534">
        <v>1</v>
      </c>
      <c r="G150" s="534">
        <v>1</v>
      </c>
      <c r="H150" s="534">
        <v>1</v>
      </c>
      <c r="I150" s="534">
        <v>1</v>
      </c>
      <c r="J150" s="534">
        <v>1</v>
      </c>
      <c r="K150" s="534">
        <v>0</v>
      </c>
      <c r="L150" s="534">
        <v>0</v>
      </c>
      <c r="M150" s="534">
        <v>0</v>
      </c>
      <c r="N150">
        <v>0</v>
      </c>
      <c r="O150">
        <v>1</v>
      </c>
      <c r="P150">
        <v>0</v>
      </c>
      <c r="Q150">
        <v>1</v>
      </c>
      <c r="R150">
        <v>1</v>
      </c>
      <c r="S150">
        <v>0</v>
      </c>
      <c r="T150">
        <v>1</v>
      </c>
      <c r="U150">
        <v>0</v>
      </c>
      <c r="V150">
        <v>0</v>
      </c>
      <c r="W150">
        <v>0</v>
      </c>
      <c r="X150">
        <v>0</v>
      </c>
    </row>
    <row r="151" spans="1:24">
      <c r="A151" s="21">
        <v>679</v>
      </c>
      <c r="B151" s="21" t="s">
        <v>142</v>
      </c>
      <c r="C151" s="534">
        <v>0</v>
      </c>
      <c r="D151" s="534">
        <v>0</v>
      </c>
      <c r="E151" s="534">
        <v>0</v>
      </c>
      <c r="F151" s="534">
        <v>0</v>
      </c>
      <c r="G151" s="534">
        <v>0</v>
      </c>
      <c r="H151" s="534">
        <v>0</v>
      </c>
      <c r="I151" s="534">
        <v>0</v>
      </c>
      <c r="J151" s="534">
        <v>0</v>
      </c>
      <c r="K151" s="534">
        <v>0</v>
      </c>
      <c r="L151" s="534">
        <v>0</v>
      </c>
      <c r="M151" s="534">
        <v>0</v>
      </c>
      <c r="N151">
        <v>0</v>
      </c>
      <c r="O151">
        <v>0</v>
      </c>
      <c r="P151">
        <v>0</v>
      </c>
      <c r="Q151">
        <v>1</v>
      </c>
      <c r="R151">
        <v>1</v>
      </c>
      <c r="S151">
        <v>0</v>
      </c>
      <c r="T151">
        <v>2</v>
      </c>
      <c r="U151">
        <v>0</v>
      </c>
      <c r="V151">
        <v>1</v>
      </c>
      <c r="W151">
        <v>0</v>
      </c>
      <c r="X151">
        <v>0</v>
      </c>
    </row>
    <row r="152" spans="1:24">
      <c r="A152" s="21">
        <v>690</v>
      </c>
      <c r="B152" s="21" t="s">
        <v>143</v>
      </c>
      <c r="C152" s="534">
        <v>1</v>
      </c>
      <c r="D152" s="534">
        <v>1</v>
      </c>
      <c r="E152" s="534">
        <v>1</v>
      </c>
      <c r="F152" s="534">
        <v>0</v>
      </c>
      <c r="G152" s="534">
        <v>0</v>
      </c>
      <c r="H152" s="534">
        <v>2</v>
      </c>
      <c r="I152" s="534">
        <v>1</v>
      </c>
      <c r="J152" s="534">
        <v>1</v>
      </c>
      <c r="K152" s="534">
        <v>0</v>
      </c>
      <c r="L152" s="534">
        <v>0</v>
      </c>
      <c r="M152" s="534">
        <v>1</v>
      </c>
      <c r="N152">
        <v>1</v>
      </c>
      <c r="O152">
        <v>1</v>
      </c>
      <c r="P152">
        <v>0</v>
      </c>
      <c r="Q152">
        <v>1</v>
      </c>
      <c r="R152">
        <v>0</v>
      </c>
      <c r="S152">
        <v>1</v>
      </c>
      <c r="T152">
        <v>0</v>
      </c>
      <c r="U152">
        <v>0</v>
      </c>
      <c r="V152">
        <v>2</v>
      </c>
      <c r="W152">
        <v>1</v>
      </c>
      <c r="X152">
        <v>0</v>
      </c>
    </row>
    <row r="153" spans="1:24">
      <c r="A153" s="21">
        <v>692</v>
      </c>
      <c r="B153" s="21" t="s">
        <v>144</v>
      </c>
      <c r="C153" s="534">
        <v>0</v>
      </c>
      <c r="D153" s="534">
        <v>0</v>
      </c>
      <c r="E153" s="534">
        <v>0</v>
      </c>
      <c r="F153" s="534">
        <v>0</v>
      </c>
      <c r="G153" s="534">
        <v>0</v>
      </c>
      <c r="H153" s="534">
        <v>0</v>
      </c>
      <c r="I153" s="534">
        <v>3</v>
      </c>
      <c r="J153" s="534">
        <v>0</v>
      </c>
      <c r="K153" s="534">
        <v>1</v>
      </c>
      <c r="L153" s="534">
        <v>0</v>
      </c>
      <c r="M153" s="534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</row>
    <row r="154" spans="1:24">
      <c r="A154" s="21">
        <v>694</v>
      </c>
      <c r="B154" s="21" t="s">
        <v>145</v>
      </c>
      <c r="C154" s="534">
        <v>0</v>
      </c>
      <c r="D154" s="534">
        <v>0</v>
      </c>
      <c r="E154" s="534">
        <v>0</v>
      </c>
      <c r="F154" s="534">
        <v>0</v>
      </c>
      <c r="G154" s="534">
        <v>0</v>
      </c>
      <c r="H154" s="534">
        <v>0</v>
      </c>
      <c r="I154" s="534">
        <v>2</v>
      </c>
      <c r="J154" s="534">
        <v>1</v>
      </c>
      <c r="K154" s="534">
        <v>0</v>
      </c>
      <c r="L154" s="534">
        <v>0</v>
      </c>
      <c r="M154" s="534">
        <v>0</v>
      </c>
      <c r="N154">
        <v>0</v>
      </c>
      <c r="O154">
        <v>1</v>
      </c>
      <c r="P154">
        <v>0</v>
      </c>
      <c r="Q154">
        <v>0</v>
      </c>
      <c r="R154">
        <v>1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</row>
    <row r="155" spans="1:24">
      <c r="A155" s="21">
        <v>696</v>
      </c>
      <c r="B155" s="21" t="s">
        <v>146</v>
      </c>
      <c r="C155" s="534">
        <v>0</v>
      </c>
      <c r="D155" s="534">
        <v>0</v>
      </c>
      <c r="E155" s="534">
        <v>0</v>
      </c>
      <c r="F155" s="534">
        <v>0</v>
      </c>
      <c r="G155" s="534">
        <v>0</v>
      </c>
      <c r="H155" s="534">
        <v>0</v>
      </c>
      <c r="I155" s="534">
        <v>1</v>
      </c>
      <c r="J155" s="534">
        <v>1</v>
      </c>
      <c r="K155" s="534">
        <v>1</v>
      </c>
      <c r="L155" s="534">
        <v>0</v>
      </c>
      <c r="M155" s="534">
        <v>0</v>
      </c>
      <c r="N155">
        <v>0</v>
      </c>
      <c r="O155">
        <v>1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1</v>
      </c>
      <c r="X155">
        <v>0</v>
      </c>
    </row>
    <row r="156" spans="1:24">
      <c r="A156" s="21">
        <v>698</v>
      </c>
      <c r="B156" s="21" t="s">
        <v>147</v>
      </c>
      <c r="C156" s="534">
        <v>1</v>
      </c>
      <c r="D156" s="534">
        <v>0</v>
      </c>
      <c r="E156" s="534">
        <v>1</v>
      </c>
      <c r="F156" s="534">
        <v>0</v>
      </c>
      <c r="G156" s="534">
        <v>0</v>
      </c>
      <c r="H156" s="534">
        <v>0</v>
      </c>
      <c r="I156" s="534">
        <v>0</v>
      </c>
      <c r="J156" s="534">
        <v>1</v>
      </c>
      <c r="K156" s="534">
        <v>0</v>
      </c>
      <c r="L156" s="534">
        <v>0</v>
      </c>
      <c r="M156" s="534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</row>
    <row r="157" spans="1:24">
      <c r="A157" s="21">
        <v>700</v>
      </c>
      <c r="B157" s="21" t="s">
        <v>148</v>
      </c>
      <c r="C157" s="534">
        <v>1</v>
      </c>
      <c r="D157" s="534">
        <v>0</v>
      </c>
      <c r="E157" s="534">
        <v>1</v>
      </c>
      <c r="F157" s="534">
        <v>2</v>
      </c>
      <c r="G157" s="534">
        <v>0</v>
      </c>
      <c r="H157" s="534">
        <v>0</v>
      </c>
      <c r="I157" s="534">
        <v>0</v>
      </c>
      <c r="J157" s="534">
        <v>0</v>
      </c>
      <c r="K157" s="534">
        <v>0</v>
      </c>
      <c r="L157" s="534">
        <v>1</v>
      </c>
      <c r="M157" s="534">
        <v>0</v>
      </c>
      <c r="N157">
        <v>0</v>
      </c>
      <c r="O157">
        <v>0</v>
      </c>
      <c r="P157">
        <v>6</v>
      </c>
      <c r="Q157">
        <v>1</v>
      </c>
      <c r="R157">
        <v>1</v>
      </c>
      <c r="S157">
        <v>0</v>
      </c>
      <c r="T157">
        <v>4</v>
      </c>
      <c r="U157">
        <v>4</v>
      </c>
      <c r="V157">
        <v>2</v>
      </c>
      <c r="W157">
        <v>0</v>
      </c>
      <c r="X157">
        <v>4</v>
      </c>
    </row>
    <row r="158" spans="1:24">
      <c r="A158" s="21">
        <v>701</v>
      </c>
      <c r="B158" s="21" t="s">
        <v>149</v>
      </c>
      <c r="C158" s="534">
        <v>0</v>
      </c>
      <c r="D158" s="534">
        <v>0</v>
      </c>
      <c r="E158" s="534">
        <v>0</v>
      </c>
      <c r="F158" s="534">
        <v>0</v>
      </c>
      <c r="G158" s="534">
        <v>0</v>
      </c>
      <c r="H158" s="534">
        <v>0</v>
      </c>
      <c r="I158" s="534">
        <v>0</v>
      </c>
      <c r="J158" s="534">
        <v>0</v>
      </c>
      <c r="K158" s="534">
        <v>0</v>
      </c>
      <c r="L158" s="534">
        <v>0</v>
      </c>
      <c r="M158" s="534">
        <v>0</v>
      </c>
      <c r="N158">
        <v>0</v>
      </c>
      <c r="O158">
        <v>0</v>
      </c>
      <c r="P158">
        <v>1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1:24">
      <c r="A159" s="21">
        <v>702</v>
      </c>
      <c r="B159" s="21" t="s">
        <v>150</v>
      </c>
      <c r="C159" s="534">
        <v>0</v>
      </c>
      <c r="D159" s="534">
        <v>0</v>
      </c>
      <c r="E159" s="534">
        <v>0</v>
      </c>
      <c r="F159" s="534">
        <v>0</v>
      </c>
      <c r="G159" s="534">
        <v>0</v>
      </c>
      <c r="H159" s="534">
        <v>0</v>
      </c>
      <c r="I159" s="534">
        <v>0</v>
      </c>
      <c r="J159" s="534">
        <v>0</v>
      </c>
      <c r="K159" s="534">
        <v>0</v>
      </c>
      <c r="L159" s="534">
        <v>0</v>
      </c>
      <c r="M159" s="534">
        <v>0</v>
      </c>
      <c r="N159">
        <v>0</v>
      </c>
      <c r="O159">
        <v>0</v>
      </c>
      <c r="P159">
        <v>1</v>
      </c>
      <c r="Q159">
        <v>0</v>
      </c>
      <c r="R159">
        <v>0</v>
      </c>
      <c r="S159">
        <v>0</v>
      </c>
      <c r="T159">
        <v>1</v>
      </c>
      <c r="U159">
        <v>1</v>
      </c>
      <c r="V159">
        <v>1</v>
      </c>
      <c r="W159">
        <v>0</v>
      </c>
      <c r="X159">
        <v>0</v>
      </c>
    </row>
    <row r="160" spans="1:24">
      <c r="A160" s="21">
        <v>703</v>
      </c>
      <c r="B160" s="21" t="s">
        <v>151</v>
      </c>
      <c r="C160" s="534">
        <v>0</v>
      </c>
      <c r="D160" s="534">
        <v>0</v>
      </c>
      <c r="E160" s="534">
        <v>0</v>
      </c>
      <c r="F160" s="534">
        <v>0</v>
      </c>
      <c r="G160" s="534">
        <v>0</v>
      </c>
      <c r="H160" s="534">
        <v>0</v>
      </c>
      <c r="I160" s="534">
        <v>0</v>
      </c>
      <c r="J160" s="534">
        <v>0</v>
      </c>
      <c r="K160" s="534">
        <v>0</v>
      </c>
      <c r="L160" s="534">
        <v>0</v>
      </c>
      <c r="M160" s="534">
        <v>0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T160">
        <v>1</v>
      </c>
      <c r="U160">
        <v>0</v>
      </c>
      <c r="V160">
        <v>1</v>
      </c>
      <c r="W160">
        <v>0</v>
      </c>
      <c r="X160">
        <v>0</v>
      </c>
    </row>
    <row r="161" spans="1:24">
      <c r="A161" s="21">
        <v>704</v>
      </c>
      <c r="B161" s="21" t="s">
        <v>152</v>
      </c>
      <c r="C161" s="534">
        <v>0</v>
      </c>
      <c r="D161" s="534">
        <v>0</v>
      </c>
      <c r="E161" s="534">
        <v>0</v>
      </c>
      <c r="F161" s="534">
        <v>0</v>
      </c>
      <c r="G161" s="534">
        <v>0</v>
      </c>
      <c r="H161" s="534">
        <v>0</v>
      </c>
      <c r="I161" s="534">
        <v>0</v>
      </c>
      <c r="J161" s="534">
        <v>0</v>
      </c>
      <c r="K161" s="534">
        <v>0</v>
      </c>
      <c r="L161" s="534">
        <v>0</v>
      </c>
      <c r="M161" s="534">
        <v>0</v>
      </c>
      <c r="N161">
        <v>0</v>
      </c>
      <c r="O161">
        <v>0</v>
      </c>
      <c r="P161">
        <v>1</v>
      </c>
      <c r="Q161">
        <v>0</v>
      </c>
      <c r="R161">
        <v>0</v>
      </c>
      <c r="S161">
        <v>0</v>
      </c>
      <c r="T161">
        <v>1</v>
      </c>
      <c r="U161">
        <v>0</v>
      </c>
      <c r="V161">
        <v>2</v>
      </c>
      <c r="W161">
        <v>0</v>
      </c>
      <c r="X161">
        <v>0</v>
      </c>
    </row>
    <row r="162" spans="1:24">
      <c r="A162" s="21">
        <v>705</v>
      </c>
      <c r="B162" s="21" t="s">
        <v>153</v>
      </c>
      <c r="C162" s="534">
        <v>0</v>
      </c>
      <c r="D162" s="534">
        <v>0</v>
      </c>
      <c r="E162" s="534">
        <v>0</v>
      </c>
      <c r="F162" s="534">
        <v>0</v>
      </c>
      <c r="G162" s="534">
        <v>0</v>
      </c>
      <c r="H162" s="534">
        <v>0</v>
      </c>
      <c r="I162" s="534">
        <v>0</v>
      </c>
      <c r="J162" s="534">
        <v>0</v>
      </c>
      <c r="K162" s="534">
        <v>0</v>
      </c>
      <c r="L162" s="534">
        <v>0</v>
      </c>
      <c r="M162" s="534">
        <v>0</v>
      </c>
      <c r="N162">
        <v>0</v>
      </c>
      <c r="O162">
        <v>0</v>
      </c>
      <c r="P162">
        <v>1</v>
      </c>
      <c r="Q162">
        <v>0</v>
      </c>
      <c r="R162">
        <v>0</v>
      </c>
      <c r="S162">
        <v>1</v>
      </c>
      <c r="T162">
        <v>0</v>
      </c>
      <c r="U162">
        <v>0</v>
      </c>
      <c r="V162">
        <v>0</v>
      </c>
      <c r="W162">
        <v>0</v>
      </c>
      <c r="X162">
        <v>0</v>
      </c>
    </row>
    <row r="163" spans="1:24">
      <c r="A163" s="21">
        <v>710</v>
      </c>
      <c r="B163" s="21" t="s">
        <v>154</v>
      </c>
      <c r="C163" s="534">
        <v>1</v>
      </c>
      <c r="D163" s="534">
        <v>1</v>
      </c>
      <c r="E163" s="534">
        <v>2</v>
      </c>
      <c r="F163" s="534">
        <v>2</v>
      </c>
      <c r="G163" s="534">
        <v>1</v>
      </c>
      <c r="H163" s="534">
        <v>3</v>
      </c>
      <c r="I163" s="534">
        <v>3</v>
      </c>
      <c r="J163" s="534">
        <v>2</v>
      </c>
      <c r="K163" s="534">
        <v>2</v>
      </c>
      <c r="L163" s="534">
        <v>0</v>
      </c>
      <c r="M163" s="534">
        <v>0</v>
      </c>
      <c r="N163">
        <v>1</v>
      </c>
      <c r="O163">
        <v>0</v>
      </c>
      <c r="P163">
        <v>4</v>
      </c>
      <c r="Q163">
        <v>5</v>
      </c>
      <c r="R163">
        <v>5</v>
      </c>
      <c r="S163">
        <v>3</v>
      </c>
      <c r="T163">
        <v>1</v>
      </c>
      <c r="U163">
        <v>2</v>
      </c>
      <c r="V163">
        <v>3</v>
      </c>
      <c r="W163">
        <v>0</v>
      </c>
      <c r="X163">
        <v>5</v>
      </c>
    </row>
    <row r="164" spans="1:24">
      <c r="A164" s="21">
        <v>712</v>
      </c>
      <c r="B164" s="21" t="s">
        <v>155</v>
      </c>
      <c r="C164" s="534">
        <v>0</v>
      </c>
      <c r="D164" s="534">
        <v>0</v>
      </c>
      <c r="E164" s="534">
        <v>0</v>
      </c>
      <c r="F164" s="534">
        <v>0</v>
      </c>
      <c r="G164" s="534">
        <v>0</v>
      </c>
      <c r="H164" s="534">
        <v>0</v>
      </c>
      <c r="I164" s="534">
        <v>0</v>
      </c>
      <c r="J164" s="534">
        <v>0</v>
      </c>
      <c r="K164" s="534">
        <v>0</v>
      </c>
      <c r="L164" s="534">
        <v>0</v>
      </c>
      <c r="M164" s="53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</v>
      </c>
      <c r="W164">
        <v>0</v>
      </c>
      <c r="X164">
        <v>0</v>
      </c>
    </row>
    <row r="165" spans="1:24">
      <c r="A165" s="21">
        <v>713</v>
      </c>
      <c r="B165" s="21" t="s">
        <v>156</v>
      </c>
      <c r="C165" s="534">
        <v>0</v>
      </c>
      <c r="D165" s="534">
        <v>0</v>
      </c>
      <c r="E165" s="534">
        <v>0</v>
      </c>
      <c r="F165" s="534">
        <v>0</v>
      </c>
      <c r="G165" s="534">
        <v>0</v>
      </c>
      <c r="H165" s="534">
        <v>0</v>
      </c>
      <c r="I165" s="534">
        <v>1</v>
      </c>
      <c r="J165" s="534">
        <v>1</v>
      </c>
      <c r="K165" s="534">
        <v>1</v>
      </c>
      <c r="L165" s="534">
        <v>0</v>
      </c>
      <c r="M165" s="534">
        <v>0</v>
      </c>
      <c r="N165">
        <v>1</v>
      </c>
      <c r="O165">
        <v>0</v>
      </c>
      <c r="P165">
        <v>1</v>
      </c>
      <c r="Q165">
        <v>3</v>
      </c>
      <c r="R165">
        <v>4</v>
      </c>
      <c r="S165">
        <v>1</v>
      </c>
      <c r="T165">
        <v>0</v>
      </c>
      <c r="U165">
        <v>0</v>
      </c>
      <c r="V165">
        <v>1</v>
      </c>
      <c r="W165">
        <v>0</v>
      </c>
      <c r="X165">
        <v>1</v>
      </c>
    </row>
    <row r="166" spans="1:24">
      <c r="A166" s="21">
        <v>731</v>
      </c>
      <c r="B166" s="21" t="s">
        <v>157</v>
      </c>
      <c r="C166" s="534">
        <v>0</v>
      </c>
      <c r="D166" s="534">
        <v>2</v>
      </c>
      <c r="E166" s="534">
        <v>1</v>
      </c>
      <c r="F166" s="534">
        <v>2</v>
      </c>
      <c r="G166" s="534">
        <v>1</v>
      </c>
      <c r="H166" s="534">
        <v>0</v>
      </c>
      <c r="I166" s="534">
        <v>1</v>
      </c>
      <c r="J166" s="534">
        <v>0</v>
      </c>
      <c r="K166" s="534">
        <v>0</v>
      </c>
      <c r="L166" s="534">
        <v>1</v>
      </c>
      <c r="M166" s="534">
        <v>1</v>
      </c>
      <c r="N166">
        <v>1</v>
      </c>
      <c r="O166">
        <v>1</v>
      </c>
      <c r="P166">
        <v>4</v>
      </c>
      <c r="Q166">
        <v>1</v>
      </c>
      <c r="R166">
        <v>1</v>
      </c>
      <c r="S166">
        <v>0</v>
      </c>
      <c r="T166">
        <v>2</v>
      </c>
      <c r="U166">
        <v>0</v>
      </c>
      <c r="V166">
        <v>3</v>
      </c>
      <c r="W166">
        <v>2</v>
      </c>
      <c r="X166">
        <v>2</v>
      </c>
    </row>
    <row r="167" spans="1:24">
      <c r="A167" s="21">
        <v>732</v>
      </c>
      <c r="B167" s="21" t="s">
        <v>158</v>
      </c>
      <c r="C167" s="534">
        <v>0</v>
      </c>
      <c r="D167" s="534">
        <v>1</v>
      </c>
      <c r="E167" s="534">
        <v>2</v>
      </c>
      <c r="F167" s="534">
        <v>2</v>
      </c>
      <c r="G167" s="534">
        <v>1</v>
      </c>
      <c r="H167" s="534">
        <v>3</v>
      </c>
      <c r="I167" s="534">
        <v>2</v>
      </c>
      <c r="J167" s="534">
        <v>1</v>
      </c>
      <c r="K167" s="534">
        <v>0</v>
      </c>
      <c r="L167" s="534">
        <v>1</v>
      </c>
      <c r="M167" s="534">
        <v>0</v>
      </c>
      <c r="N167">
        <v>1</v>
      </c>
      <c r="O167">
        <v>1</v>
      </c>
      <c r="P167">
        <v>2</v>
      </c>
      <c r="Q167">
        <v>2</v>
      </c>
      <c r="R167">
        <v>0</v>
      </c>
      <c r="S167">
        <v>1</v>
      </c>
      <c r="T167">
        <v>0</v>
      </c>
      <c r="U167">
        <v>0</v>
      </c>
      <c r="V167">
        <v>1</v>
      </c>
      <c r="W167">
        <v>1</v>
      </c>
      <c r="X167">
        <v>1</v>
      </c>
    </row>
    <row r="168" spans="1:24">
      <c r="A168" s="21">
        <v>740</v>
      </c>
      <c r="B168" s="21" t="s">
        <v>159</v>
      </c>
      <c r="C168" s="534">
        <v>0</v>
      </c>
      <c r="D168" s="534">
        <v>0</v>
      </c>
      <c r="E168" s="534">
        <v>3</v>
      </c>
      <c r="F168" s="534">
        <v>0</v>
      </c>
      <c r="G168" s="534">
        <v>1</v>
      </c>
      <c r="H168" s="534">
        <v>0</v>
      </c>
      <c r="I168" s="534">
        <v>0</v>
      </c>
      <c r="J168" s="534">
        <v>2</v>
      </c>
      <c r="K168" s="534">
        <v>2</v>
      </c>
      <c r="L168" s="534">
        <v>0</v>
      </c>
      <c r="M168" s="534">
        <v>0</v>
      </c>
      <c r="N168">
        <v>1</v>
      </c>
      <c r="O168">
        <v>0</v>
      </c>
      <c r="P168">
        <v>1</v>
      </c>
      <c r="Q168">
        <v>0</v>
      </c>
      <c r="R168">
        <v>2</v>
      </c>
      <c r="S168">
        <v>4</v>
      </c>
      <c r="T168">
        <v>1</v>
      </c>
      <c r="U168">
        <v>0</v>
      </c>
      <c r="V168">
        <v>4</v>
      </c>
      <c r="W168">
        <v>1</v>
      </c>
      <c r="X168">
        <v>2</v>
      </c>
    </row>
    <row r="169" spans="1:24">
      <c r="A169" s="21">
        <v>750</v>
      </c>
      <c r="B169" s="21" t="s">
        <v>160</v>
      </c>
      <c r="C169" s="534">
        <v>1</v>
      </c>
      <c r="D169" s="534">
        <v>2</v>
      </c>
      <c r="E169" s="534">
        <v>1</v>
      </c>
      <c r="F169" s="534">
        <v>2</v>
      </c>
      <c r="G169" s="534">
        <v>4</v>
      </c>
      <c r="H169" s="534">
        <v>2</v>
      </c>
      <c r="I169" s="534">
        <v>2</v>
      </c>
      <c r="J169" s="534">
        <v>3</v>
      </c>
      <c r="K169" s="534">
        <v>0</v>
      </c>
      <c r="L169" s="534">
        <v>1</v>
      </c>
      <c r="M169" s="534">
        <v>1</v>
      </c>
      <c r="N169">
        <v>1</v>
      </c>
      <c r="O169">
        <v>2</v>
      </c>
      <c r="P169">
        <v>1</v>
      </c>
      <c r="Q169">
        <v>0</v>
      </c>
      <c r="R169">
        <v>1</v>
      </c>
      <c r="S169">
        <v>1</v>
      </c>
      <c r="T169">
        <v>0</v>
      </c>
      <c r="U169">
        <v>0</v>
      </c>
      <c r="V169">
        <v>1</v>
      </c>
      <c r="W169">
        <v>0</v>
      </c>
      <c r="X169">
        <v>2</v>
      </c>
    </row>
    <row r="170" spans="1:24">
      <c r="A170" s="21">
        <v>760</v>
      </c>
      <c r="B170" s="21" t="s">
        <v>161</v>
      </c>
      <c r="C170" s="534">
        <v>0</v>
      </c>
      <c r="D170" s="534">
        <v>0</v>
      </c>
      <c r="E170" s="534">
        <v>0</v>
      </c>
      <c r="F170" s="534">
        <v>0</v>
      </c>
      <c r="G170" s="534">
        <v>0</v>
      </c>
      <c r="H170" s="534">
        <v>0</v>
      </c>
      <c r="I170" s="534">
        <v>0</v>
      </c>
      <c r="J170" s="534">
        <v>0</v>
      </c>
      <c r="K170" s="534">
        <v>0</v>
      </c>
      <c r="L170" s="534">
        <v>0</v>
      </c>
      <c r="M170" s="534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>
      <c r="A171" s="21">
        <v>770</v>
      </c>
      <c r="B171" s="21" t="s">
        <v>162</v>
      </c>
      <c r="C171" s="534">
        <v>0</v>
      </c>
      <c r="D171" s="534">
        <v>1</v>
      </c>
      <c r="E171" s="534">
        <v>1</v>
      </c>
      <c r="F171" s="534">
        <v>2</v>
      </c>
      <c r="G171" s="534">
        <v>1</v>
      </c>
      <c r="H171" s="534">
        <v>1</v>
      </c>
      <c r="I171" s="534">
        <v>1</v>
      </c>
      <c r="J171" s="534">
        <v>1</v>
      </c>
      <c r="K171" s="534">
        <v>0</v>
      </c>
      <c r="L171" s="534">
        <v>1</v>
      </c>
      <c r="M171" s="534">
        <v>1</v>
      </c>
      <c r="N171">
        <v>1</v>
      </c>
      <c r="O171">
        <v>0</v>
      </c>
      <c r="P171">
        <v>1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W171">
        <v>0</v>
      </c>
      <c r="X171">
        <v>1</v>
      </c>
    </row>
    <row r="172" spans="1:24">
      <c r="A172" s="21">
        <v>771</v>
      </c>
      <c r="B172" s="21" t="s">
        <v>163</v>
      </c>
      <c r="C172" s="534">
        <v>1</v>
      </c>
      <c r="D172" s="534">
        <v>1</v>
      </c>
      <c r="E172" s="534">
        <v>0</v>
      </c>
      <c r="F172" s="534">
        <v>1</v>
      </c>
      <c r="G172" s="534">
        <v>0</v>
      </c>
      <c r="H172" s="534">
        <v>0</v>
      </c>
      <c r="I172" s="534">
        <v>1</v>
      </c>
      <c r="J172" s="534">
        <v>1</v>
      </c>
      <c r="K172" s="534">
        <v>0</v>
      </c>
      <c r="L172" s="534">
        <v>0</v>
      </c>
      <c r="M172" s="534">
        <v>0</v>
      </c>
      <c r="N172">
        <v>1</v>
      </c>
      <c r="O172">
        <v>0</v>
      </c>
      <c r="P172">
        <v>0</v>
      </c>
      <c r="Q172">
        <v>0</v>
      </c>
      <c r="R172">
        <v>1</v>
      </c>
      <c r="S172">
        <v>1</v>
      </c>
      <c r="T172">
        <v>0</v>
      </c>
      <c r="U172">
        <v>0</v>
      </c>
      <c r="V172">
        <v>0</v>
      </c>
      <c r="W172">
        <v>0</v>
      </c>
      <c r="X172">
        <v>1</v>
      </c>
    </row>
    <row r="173" spans="1:24">
      <c r="A173" s="21">
        <v>775</v>
      </c>
      <c r="B173" s="21" t="s">
        <v>164</v>
      </c>
      <c r="C173" s="534">
        <v>1</v>
      </c>
      <c r="D173" s="534">
        <v>0</v>
      </c>
      <c r="E173" s="534">
        <v>1</v>
      </c>
      <c r="F173" s="534">
        <v>1</v>
      </c>
      <c r="G173" s="534">
        <v>1</v>
      </c>
      <c r="H173" s="534">
        <v>1</v>
      </c>
      <c r="I173" s="534">
        <v>0</v>
      </c>
      <c r="J173" s="534">
        <v>1</v>
      </c>
      <c r="K173" s="534">
        <v>1</v>
      </c>
      <c r="L173" s="534">
        <v>1</v>
      </c>
      <c r="M173" s="534">
        <v>1</v>
      </c>
      <c r="N173">
        <v>1</v>
      </c>
      <c r="O173">
        <v>1</v>
      </c>
      <c r="P173">
        <v>0</v>
      </c>
      <c r="Q173">
        <v>0</v>
      </c>
      <c r="R173">
        <v>1</v>
      </c>
      <c r="S173">
        <v>1</v>
      </c>
      <c r="T173">
        <v>0</v>
      </c>
      <c r="U173">
        <v>0</v>
      </c>
      <c r="V173">
        <v>1</v>
      </c>
      <c r="W173">
        <v>0</v>
      </c>
      <c r="X173">
        <v>1</v>
      </c>
    </row>
    <row r="174" spans="1:24">
      <c r="A174" s="21">
        <v>780</v>
      </c>
      <c r="B174" s="21" t="s">
        <v>165</v>
      </c>
      <c r="C174" s="534">
        <v>0</v>
      </c>
      <c r="D174" s="534">
        <v>0</v>
      </c>
      <c r="E174" s="534">
        <v>0</v>
      </c>
      <c r="F174" s="534">
        <v>0</v>
      </c>
      <c r="G174" s="534">
        <v>1</v>
      </c>
      <c r="H174" s="534">
        <v>0</v>
      </c>
      <c r="I174" s="534">
        <v>0</v>
      </c>
      <c r="J174" s="534">
        <v>1</v>
      </c>
      <c r="K174" s="534">
        <v>0</v>
      </c>
      <c r="L174" s="534">
        <v>1</v>
      </c>
      <c r="M174" s="534">
        <v>0</v>
      </c>
      <c r="N174">
        <v>0</v>
      </c>
      <c r="O174">
        <v>1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</row>
    <row r="175" spans="1:24">
      <c r="A175" s="21">
        <v>781</v>
      </c>
      <c r="B175" s="21" t="s">
        <v>166</v>
      </c>
      <c r="C175" s="534">
        <v>0</v>
      </c>
      <c r="D175" s="534">
        <v>0</v>
      </c>
      <c r="E175" s="534">
        <v>0</v>
      </c>
      <c r="F175" s="534">
        <v>0</v>
      </c>
      <c r="G175" s="534">
        <v>0</v>
      </c>
      <c r="H175" s="534">
        <v>0</v>
      </c>
      <c r="I175" s="534">
        <v>0</v>
      </c>
      <c r="J175" s="534">
        <v>1</v>
      </c>
      <c r="K175" s="534">
        <v>0</v>
      </c>
      <c r="L175" s="534">
        <v>0</v>
      </c>
      <c r="M175" s="534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</row>
    <row r="176" spans="1:24">
      <c r="A176" s="21">
        <v>790</v>
      </c>
      <c r="B176" s="21" t="s">
        <v>167</v>
      </c>
      <c r="C176" s="534">
        <v>0</v>
      </c>
      <c r="D176" s="534">
        <v>0</v>
      </c>
      <c r="E176" s="534">
        <v>0</v>
      </c>
      <c r="F176" s="534">
        <v>0</v>
      </c>
      <c r="G176" s="534">
        <v>0</v>
      </c>
      <c r="H176" s="534">
        <v>0</v>
      </c>
      <c r="I176" s="534">
        <v>0</v>
      </c>
      <c r="J176" s="534">
        <v>0</v>
      </c>
      <c r="K176" s="534">
        <v>0</v>
      </c>
      <c r="L176" s="534">
        <v>0</v>
      </c>
      <c r="M176" s="534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</row>
    <row r="177" spans="1:24">
      <c r="A177" s="21">
        <v>800</v>
      </c>
      <c r="B177" s="21" t="s">
        <v>168</v>
      </c>
      <c r="C177" s="534">
        <v>2</v>
      </c>
      <c r="D177" s="534">
        <v>0</v>
      </c>
      <c r="E177" s="534">
        <v>2</v>
      </c>
      <c r="F177" s="534">
        <v>2</v>
      </c>
      <c r="G177" s="534">
        <v>1</v>
      </c>
      <c r="H177" s="534">
        <v>1</v>
      </c>
      <c r="I177" s="534">
        <v>0</v>
      </c>
      <c r="J177" s="534">
        <v>2</v>
      </c>
      <c r="K177" s="534">
        <v>1</v>
      </c>
      <c r="L177" s="534">
        <v>2</v>
      </c>
      <c r="M177" s="534">
        <v>1</v>
      </c>
      <c r="N177">
        <v>0</v>
      </c>
      <c r="O177">
        <v>1</v>
      </c>
      <c r="P177">
        <v>0</v>
      </c>
      <c r="Q177">
        <v>1</v>
      </c>
      <c r="R177">
        <v>2</v>
      </c>
      <c r="S177">
        <v>1</v>
      </c>
      <c r="T177">
        <v>1</v>
      </c>
      <c r="U177">
        <v>0</v>
      </c>
      <c r="V177">
        <v>1</v>
      </c>
      <c r="W177">
        <v>0</v>
      </c>
      <c r="X177">
        <v>1</v>
      </c>
    </row>
    <row r="178" spans="1:24">
      <c r="A178" s="21">
        <v>811</v>
      </c>
      <c r="B178" s="21" t="s">
        <v>169</v>
      </c>
      <c r="C178" s="534">
        <v>0</v>
      </c>
      <c r="D178" s="534">
        <v>0</v>
      </c>
      <c r="E178" s="534">
        <v>0</v>
      </c>
      <c r="F178" s="534">
        <v>0</v>
      </c>
      <c r="G178" s="534">
        <v>0</v>
      </c>
      <c r="H178" s="534">
        <v>0</v>
      </c>
      <c r="I178" s="534">
        <v>0</v>
      </c>
      <c r="J178" s="534">
        <v>0</v>
      </c>
      <c r="K178" s="534">
        <v>0</v>
      </c>
      <c r="L178" s="534">
        <v>0</v>
      </c>
      <c r="M178" s="534">
        <v>0</v>
      </c>
      <c r="N178">
        <v>0</v>
      </c>
      <c r="O178">
        <v>0</v>
      </c>
      <c r="P178">
        <v>0</v>
      </c>
      <c r="Q178">
        <v>1</v>
      </c>
      <c r="R178">
        <v>0</v>
      </c>
      <c r="S178">
        <v>1</v>
      </c>
      <c r="T178">
        <v>1</v>
      </c>
      <c r="U178">
        <v>0</v>
      </c>
      <c r="V178">
        <v>0</v>
      </c>
      <c r="W178">
        <v>0</v>
      </c>
      <c r="X178">
        <v>0</v>
      </c>
    </row>
    <row r="179" spans="1:24">
      <c r="A179" s="21">
        <v>812</v>
      </c>
      <c r="B179" s="21" t="s">
        <v>170</v>
      </c>
      <c r="C179" s="534">
        <v>1</v>
      </c>
      <c r="D179" s="534">
        <v>0</v>
      </c>
      <c r="E179" s="534">
        <v>1</v>
      </c>
      <c r="F179" s="534">
        <v>1</v>
      </c>
      <c r="G179" s="534">
        <v>0</v>
      </c>
      <c r="H179" s="534">
        <v>0</v>
      </c>
      <c r="I179" s="534">
        <v>0</v>
      </c>
      <c r="J179" s="534">
        <v>1</v>
      </c>
      <c r="K179" s="534">
        <v>0</v>
      </c>
      <c r="L179" s="534">
        <v>0</v>
      </c>
      <c r="M179" s="534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1:24">
      <c r="A180" s="21">
        <v>816</v>
      </c>
      <c r="B180" s="21" t="s">
        <v>171</v>
      </c>
      <c r="C180" s="534">
        <v>1</v>
      </c>
      <c r="D180" s="534">
        <v>1</v>
      </c>
      <c r="E180" s="534">
        <v>1</v>
      </c>
      <c r="F180" s="534">
        <v>2</v>
      </c>
      <c r="G180" s="534">
        <v>1</v>
      </c>
      <c r="H180" s="534">
        <v>1</v>
      </c>
      <c r="I180" s="534">
        <v>1</v>
      </c>
      <c r="J180" s="534">
        <v>1</v>
      </c>
      <c r="K180" s="534">
        <v>1</v>
      </c>
      <c r="L180" s="534">
        <v>1</v>
      </c>
      <c r="M180" s="534">
        <v>0</v>
      </c>
      <c r="N180">
        <v>0</v>
      </c>
      <c r="O180">
        <v>0</v>
      </c>
      <c r="P180">
        <v>1</v>
      </c>
      <c r="Q180">
        <v>2</v>
      </c>
      <c r="R180">
        <v>2</v>
      </c>
      <c r="S180">
        <v>1</v>
      </c>
      <c r="T180">
        <v>0</v>
      </c>
      <c r="U180">
        <v>2</v>
      </c>
      <c r="V180">
        <v>1</v>
      </c>
      <c r="W180">
        <v>0</v>
      </c>
      <c r="X180">
        <v>0</v>
      </c>
    </row>
    <row r="181" spans="1:24">
      <c r="A181" s="21">
        <v>820</v>
      </c>
      <c r="B181" s="21" t="s">
        <v>172</v>
      </c>
      <c r="C181" s="534">
        <v>1</v>
      </c>
      <c r="D181" s="534">
        <v>0</v>
      </c>
      <c r="E181" s="534">
        <v>0</v>
      </c>
      <c r="F181" s="534">
        <v>2</v>
      </c>
      <c r="G181" s="534">
        <v>0</v>
      </c>
      <c r="H181" s="534">
        <v>1</v>
      </c>
      <c r="I181" s="534">
        <v>0</v>
      </c>
      <c r="J181" s="534">
        <v>0</v>
      </c>
      <c r="K181" s="534">
        <v>2</v>
      </c>
      <c r="L181" s="534">
        <v>0</v>
      </c>
      <c r="M181" s="534">
        <v>0</v>
      </c>
      <c r="N181">
        <v>0</v>
      </c>
      <c r="O181">
        <v>1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</row>
    <row r="182" spans="1:24">
      <c r="A182" s="21">
        <v>830</v>
      </c>
      <c r="B182" s="21" t="s">
        <v>173</v>
      </c>
      <c r="C182" s="534">
        <v>0</v>
      </c>
      <c r="D182" s="534">
        <v>0</v>
      </c>
      <c r="E182" s="534">
        <v>0</v>
      </c>
      <c r="F182" s="534">
        <v>0</v>
      </c>
      <c r="G182" s="534">
        <v>0</v>
      </c>
      <c r="H182" s="534">
        <v>0</v>
      </c>
      <c r="I182" s="534">
        <v>0</v>
      </c>
      <c r="J182" s="534">
        <v>2</v>
      </c>
      <c r="K182" s="534">
        <v>0</v>
      </c>
      <c r="L182" s="534">
        <v>0</v>
      </c>
      <c r="M182" s="534">
        <v>0</v>
      </c>
      <c r="N182">
        <v>0</v>
      </c>
      <c r="O182">
        <v>1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</row>
    <row r="183" spans="1:24">
      <c r="A183" s="21">
        <v>835</v>
      </c>
      <c r="B183" s="21" t="s">
        <v>174</v>
      </c>
      <c r="C183" s="534">
        <v>0</v>
      </c>
      <c r="D183" s="534">
        <v>0</v>
      </c>
      <c r="E183" s="534">
        <v>0</v>
      </c>
      <c r="F183" s="534">
        <v>0</v>
      </c>
      <c r="G183" s="534">
        <v>0</v>
      </c>
      <c r="H183" s="534">
        <v>0</v>
      </c>
      <c r="I183" s="534">
        <v>0</v>
      </c>
      <c r="J183" s="534">
        <v>0</v>
      </c>
      <c r="K183" s="534">
        <v>0</v>
      </c>
      <c r="L183" s="534">
        <v>0</v>
      </c>
      <c r="M183" s="534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</row>
    <row r="184" spans="1:24">
      <c r="A184" s="21">
        <v>840</v>
      </c>
      <c r="B184" s="21" t="s">
        <v>175</v>
      </c>
      <c r="C184" s="534">
        <v>1</v>
      </c>
      <c r="D184" s="534">
        <v>0</v>
      </c>
      <c r="E184" s="534">
        <v>2</v>
      </c>
      <c r="F184" s="534">
        <v>0</v>
      </c>
      <c r="G184" s="534">
        <v>0</v>
      </c>
      <c r="H184" s="534">
        <v>1</v>
      </c>
      <c r="I184" s="534">
        <v>0</v>
      </c>
      <c r="J184" s="534">
        <v>0</v>
      </c>
      <c r="K184" s="534">
        <v>1</v>
      </c>
      <c r="L184" s="534">
        <v>0</v>
      </c>
      <c r="M184" s="534">
        <v>0</v>
      </c>
      <c r="N184">
        <v>0</v>
      </c>
      <c r="O184">
        <v>0</v>
      </c>
      <c r="P184">
        <v>0</v>
      </c>
      <c r="Q184">
        <v>1</v>
      </c>
      <c r="R184">
        <v>1</v>
      </c>
      <c r="S184">
        <v>1</v>
      </c>
      <c r="T184">
        <v>0</v>
      </c>
      <c r="U184">
        <v>2</v>
      </c>
      <c r="V184">
        <v>1</v>
      </c>
      <c r="W184">
        <v>1</v>
      </c>
      <c r="X184">
        <v>1</v>
      </c>
    </row>
    <row r="185" spans="1:24">
      <c r="A185" s="21">
        <v>850</v>
      </c>
      <c r="B185" s="21" t="s">
        <v>176</v>
      </c>
      <c r="C185" s="534">
        <v>1</v>
      </c>
      <c r="D185" s="534">
        <v>0</v>
      </c>
      <c r="E185" s="534">
        <v>1</v>
      </c>
      <c r="F185" s="534">
        <v>0</v>
      </c>
      <c r="G185" s="534">
        <v>1</v>
      </c>
      <c r="H185" s="534">
        <v>0</v>
      </c>
      <c r="I185" s="534">
        <v>0</v>
      </c>
      <c r="J185" s="534">
        <v>0</v>
      </c>
      <c r="K185" s="534">
        <v>1</v>
      </c>
      <c r="L185" s="534">
        <v>0</v>
      </c>
      <c r="M185" s="534">
        <v>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</v>
      </c>
      <c r="T185">
        <v>0</v>
      </c>
      <c r="U185">
        <v>0</v>
      </c>
      <c r="V185">
        <v>1</v>
      </c>
      <c r="W185">
        <v>0</v>
      </c>
      <c r="X185">
        <v>1</v>
      </c>
    </row>
    <row r="186" spans="1:24">
      <c r="A186" s="21">
        <v>860</v>
      </c>
      <c r="B186" s="21" t="s">
        <v>197</v>
      </c>
      <c r="C186" s="534">
        <v>1</v>
      </c>
      <c r="D186" s="534">
        <v>0</v>
      </c>
      <c r="E186" s="534">
        <v>0</v>
      </c>
      <c r="F186" s="534">
        <v>0</v>
      </c>
      <c r="G186" s="534">
        <v>0</v>
      </c>
      <c r="H186" s="534">
        <v>0</v>
      </c>
      <c r="I186" s="534">
        <v>0</v>
      </c>
      <c r="J186" s="534">
        <v>0</v>
      </c>
      <c r="K186" s="534">
        <v>0</v>
      </c>
      <c r="L186" s="534">
        <v>0</v>
      </c>
      <c r="M186" s="534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</row>
    <row r="187" spans="1:24">
      <c r="A187" s="21">
        <v>900</v>
      </c>
      <c r="B187" s="21" t="s">
        <v>177</v>
      </c>
      <c r="C187" s="534">
        <v>0</v>
      </c>
      <c r="D187" s="534">
        <v>0</v>
      </c>
      <c r="E187" s="534">
        <v>0</v>
      </c>
      <c r="F187" s="534">
        <v>0</v>
      </c>
      <c r="G187" s="534">
        <v>0</v>
      </c>
      <c r="H187" s="534">
        <v>0</v>
      </c>
      <c r="I187" s="534">
        <v>0</v>
      </c>
      <c r="J187" s="534">
        <v>1</v>
      </c>
      <c r="K187" s="534">
        <v>0</v>
      </c>
      <c r="L187" s="534">
        <v>0</v>
      </c>
      <c r="M187" s="534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0</v>
      </c>
      <c r="X187">
        <v>2</v>
      </c>
    </row>
    <row r="188" spans="1:24">
      <c r="A188" s="21">
        <v>910</v>
      </c>
      <c r="B188" s="21" t="s">
        <v>178</v>
      </c>
      <c r="C188" s="534">
        <v>0</v>
      </c>
      <c r="D188" s="534">
        <v>0</v>
      </c>
      <c r="E188" s="534">
        <v>1</v>
      </c>
      <c r="F188" s="534">
        <v>0</v>
      </c>
      <c r="G188" s="534">
        <v>1</v>
      </c>
      <c r="H188" s="534">
        <v>0</v>
      </c>
      <c r="I188" s="534">
        <v>0</v>
      </c>
      <c r="J188" s="534">
        <v>0</v>
      </c>
      <c r="K188" s="534">
        <v>2</v>
      </c>
      <c r="L188" s="534">
        <v>0</v>
      </c>
      <c r="M188" s="534">
        <v>1</v>
      </c>
      <c r="N188">
        <v>0</v>
      </c>
      <c r="O188">
        <v>1</v>
      </c>
      <c r="P188">
        <v>1</v>
      </c>
      <c r="Q188">
        <v>0</v>
      </c>
      <c r="R188">
        <v>0</v>
      </c>
      <c r="S188">
        <v>1</v>
      </c>
      <c r="T188">
        <v>0</v>
      </c>
      <c r="U188">
        <v>0</v>
      </c>
      <c r="V188">
        <v>0</v>
      </c>
      <c r="W188">
        <v>0</v>
      </c>
      <c r="X188">
        <v>0</v>
      </c>
    </row>
    <row r="189" spans="1:24">
      <c r="A189" s="21">
        <v>920</v>
      </c>
      <c r="B189" s="21" t="s">
        <v>179</v>
      </c>
      <c r="C189" s="534">
        <v>0</v>
      </c>
      <c r="D189" s="534">
        <v>0</v>
      </c>
      <c r="E189" s="534">
        <v>0</v>
      </c>
      <c r="F189" s="534">
        <v>0</v>
      </c>
      <c r="G189" s="534">
        <v>0</v>
      </c>
      <c r="H189" s="534">
        <v>1</v>
      </c>
      <c r="I189" s="534">
        <v>0</v>
      </c>
      <c r="J189" s="534">
        <v>0</v>
      </c>
      <c r="K189" s="534">
        <v>0</v>
      </c>
      <c r="L189" s="534">
        <v>0</v>
      </c>
      <c r="M189" s="534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1</v>
      </c>
    </row>
    <row r="190" spans="1:24">
      <c r="A190" s="21">
        <v>935</v>
      </c>
      <c r="B190" s="21" t="s">
        <v>180</v>
      </c>
      <c r="C190" s="534">
        <v>0</v>
      </c>
      <c r="D190" s="534">
        <v>0</v>
      </c>
      <c r="E190" s="534">
        <v>0</v>
      </c>
      <c r="F190" s="534">
        <v>0</v>
      </c>
      <c r="G190" s="534">
        <v>0</v>
      </c>
      <c r="H190" s="534">
        <v>0</v>
      </c>
      <c r="I190" s="534">
        <v>0</v>
      </c>
      <c r="J190" s="534">
        <v>0</v>
      </c>
      <c r="K190" s="534">
        <v>0</v>
      </c>
      <c r="L190" s="534">
        <v>0</v>
      </c>
      <c r="M190" s="534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</row>
    <row r="191" spans="1:24">
      <c r="A191" s="21">
        <v>940</v>
      </c>
      <c r="B191" s="21" t="s">
        <v>181</v>
      </c>
      <c r="C191" s="534">
        <v>0</v>
      </c>
      <c r="D191" s="534">
        <v>0</v>
      </c>
      <c r="E191" s="534">
        <v>0</v>
      </c>
      <c r="F191" s="534">
        <v>0</v>
      </c>
      <c r="G191" s="534">
        <v>0</v>
      </c>
      <c r="H191" s="534">
        <v>0</v>
      </c>
      <c r="I191" s="534">
        <v>0</v>
      </c>
      <c r="J191" s="534">
        <v>0</v>
      </c>
      <c r="K191" s="534">
        <v>0</v>
      </c>
      <c r="L191" s="534">
        <v>0</v>
      </c>
      <c r="M191" s="534">
        <v>0</v>
      </c>
      <c r="N191">
        <v>0</v>
      </c>
      <c r="O191">
        <v>0</v>
      </c>
      <c r="P191">
        <v>1</v>
      </c>
      <c r="Q191">
        <v>0</v>
      </c>
      <c r="R191">
        <v>0</v>
      </c>
      <c r="S191">
        <v>1</v>
      </c>
      <c r="T191">
        <v>0</v>
      </c>
      <c r="U191">
        <v>0</v>
      </c>
      <c r="V191">
        <v>0</v>
      </c>
      <c r="W191">
        <v>0</v>
      </c>
      <c r="X191">
        <v>0</v>
      </c>
    </row>
    <row r="192" spans="1:24">
      <c r="A192" s="21">
        <v>946</v>
      </c>
      <c r="B192" s="21" t="s">
        <v>182</v>
      </c>
      <c r="C192" s="534">
        <v>0</v>
      </c>
      <c r="D192" s="534">
        <v>0</v>
      </c>
      <c r="E192" s="534">
        <v>0</v>
      </c>
      <c r="F192" s="534">
        <v>0</v>
      </c>
      <c r="G192" s="534">
        <v>0</v>
      </c>
      <c r="H192" s="534">
        <v>0</v>
      </c>
      <c r="I192" s="534">
        <v>0</v>
      </c>
      <c r="J192" s="534">
        <v>0</v>
      </c>
      <c r="K192" s="534">
        <v>0</v>
      </c>
      <c r="L192" s="534">
        <v>0</v>
      </c>
      <c r="M192" s="534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>
      <c r="A193" s="21">
        <v>947</v>
      </c>
      <c r="B193" s="21" t="s">
        <v>183</v>
      </c>
      <c r="C193" s="534">
        <v>0</v>
      </c>
      <c r="D193" s="534">
        <v>0</v>
      </c>
      <c r="E193" s="534">
        <v>0</v>
      </c>
      <c r="F193" s="534">
        <v>0</v>
      </c>
      <c r="G193" s="534">
        <v>0</v>
      </c>
      <c r="H193" s="534">
        <v>0</v>
      </c>
      <c r="I193" s="534">
        <v>0</v>
      </c>
      <c r="J193" s="534">
        <v>0</v>
      </c>
      <c r="K193" s="534">
        <v>0</v>
      </c>
      <c r="L193" s="534">
        <v>0</v>
      </c>
      <c r="M193" s="534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>
      <c r="A194" s="21">
        <v>950</v>
      </c>
      <c r="B194" s="21" t="s">
        <v>184</v>
      </c>
      <c r="C194" s="534">
        <v>0</v>
      </c>
      <c r="D194" s="534">
        <v>0</v>
      </c>
      <c r="E194" s="534">
        <v>0</v>
      </c>
      <c r="F194" s="534">
        <v>0</v>
      </c>
      <c r="G194" s="534">
        <v>0</v>
      </c>
      <c r="H194" s="534">
        <v>0</v>
      </c>
      <c r="I194" s="534">
        <v>0</v>
      </c>
      <c r="J194" s="534">
        <v>0</v>
      </c>
      <c r="K194" s="534">
        <v>0</v>
      </c>
      <c r="L194" s="534">
        <v>0</v>
      </c>
      <c r="M194" s="53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</row>
    <row r="195" spans="1:24">
      <c r="A195" s="21">
        <v>955</v>
      </c>
      <c r="B195" s="21" t="s">
        <v>185</v>
      </c>
      <c r="C195" s="534">
        <v>0</v>
      </c>
      <c r="D195" s="534">
        <v>0</v>
      </c>
      <c r="E195" s="534">
        <v>0</v>
      </c>
      <c r="F195" s="534">
        <v>0</v>
      </c>
      <c r="G195" s="534">
        <v>0</v>
      </c>
      <c r="H195" s="534">
        <v>0</v>
      </c>
      <c r="I195" s="534">
        <v>0</v>
      </c>
      <c r="J195" s="534">
        <v>0</v>
      </c>
      <c r="K195" s="534">
        <v>0</v>
      </c>
      <c r="L195" s="534">
        <v>0</v>
      </c>
      <c r="M195" s="534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>
      <c r="A196" s="21">
        <v>970</v>
      </c>
      <c r="B196" s="21" t="s">
        <v>186</v>
      </c>
      <c r="C196" s="534">
        <v>0</v>
      </c>
      <c r="D196" s="534">
        <v>0</v>
      </c>
      <c r="E196" s="534">
        <v>0</v>
      </c>
      <c r="F196" s="534">
        <v>0</v>
      </c>
      <c r="G196" s="534">
        <v>0</v>
      </c>
      <c r="H196" s="534">
        <v>0</v>
      </c>
      <c r="I196" s="534">
        <v>0</v>
      </c>
      <c r="J196" s="534">
        <v>0</v>
      </c>
      <c r="K196" s="534">
        <v>0</v>
      </c>
      <c r="L196" s="534">
        <v>0</v>
      </c>
      <c r="M196" s="534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</row>
    <row r="197" spans="1:24">
      <c r="A197" s="21">
        <v>983</v>
      </c>
      <c r="B197" s="21" t="s">
        <v>187</v>
      </c>
      <c r="C197" s="534">
        <v>0</v>
      </c>
      <c r="D197" s="534">
        <v>0</v>
      </c>
      <c r="E197" s="534">
        <v>0</v>
      </c>
      <c r="F197" s="534">
        <v>0</v>
      </c>
      <c r="G197" s="534">
        <v>0</v>
      </c>
      <c r="H197" s="534">
        <v>0</v>
      </c>
      <c r="I197" s="534">
        <v>0</v>
      </c>
      <c r="J197" s="534">
        <v>0</v>
      </c>
      <c r="K197" s="534">
        <v>0</v>
      </c>
      <c r="L197" s="534">
        <v>0</v>
      </c>
      <c r="M197" s="534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</row>
    <row r="198" spans="1:24">
      <c r="A198" s="21">
        <v>986</v>
      </c>
      <c r="B198" s="21" t="s">
        <v>188</v>
      </c>
      <c r="C198" s="534">
        <v>0</v>
      </c>
      <c r="D198" s="534">
        <v>0</v>
      </c>
      <c r="E198" s="534">
        <v>0</v>
      </c>
      <c r="F198" s="534">
        <v>0</v>
      </c>
      <c r="G198" s="534">
        <v>0</v>
      </c>
      <c r="H198" s="534">
        <v>0</v>
      </c>
      <c r="I198" s="534">
        <v>0</v>
      </c>
      <c r="J198" s="534">
        <v>0</v>
      </c>
      <c r="K198" s="534">
        <v>0</v>
      </c>
      <c r="L198" s="534">
        <v>0</v>
      </c>
      <c r="M198" s="534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1</v>
      </c>
      <c r="X198">
        <v>0</v>
      </c>
    </row>
    <row r="199" spans="1:24">
      <c r="A199" s="21">
        <v>987</v>
      </c>
      <c r="B199" s="21" t="s">
        <v>189</v>
      </c>
      <c r="C199" s="534">
        <v>0</v>
      </c>
      <c r="D199" s="534">
        <v>0</v>
      </c>
      <c r="E199" s="534">
        <v>0</v>
      </c>
      <c r="F199" s="534">
        <v>0</v>
      </c>
      <c r="G199" s="534">
        <v>0</v>
      </c>
      <c r="H199" s="534">
        <v>0</v>
      </c>
      <c r="I199" s="534">
        <v>0</v>
      </c>
      <c r="J199" s="534">
        <v>0</v>
      </c>
      <c r="K199" s="534">
        <v>0</v>
      </c>
      <c r="L199" s="534">
        <v>0</v>
      </c>
      <c r="M199" s="534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</row>
    <row r="200" spans="1:24">
      <c r="A200" s="21">
        <v>990</v>
      </c>
      <c r="B200" s="21" t="s">
        <v>190</v>
      </c>
      <c r="C200" s="534">
        <v>0</v>
      </c>
      <c r="D200" s="534">
        <v>0</v>
      </c>
      <c r="E200" s="534">
        <v>0</v>
      </c>
      <c r="F200" s="534">
        <v>0</v>
      </c>
      <c r="G200" s="534">
        <v>0</v>
      </c>
      <c r="H200" s="534">
        <v>0</v>
      </c>
      <c r="I200" s="534">
        <v>0</v>
      </c>
      <c r="J200" s="534">
        <v>0</v>
      </c>
      <c r="K200" s="534">
        <v>0</v>
      </c>
      <c r="L200" s="534">
        <v>0</v>
      </c>
      <c r="M200" s="534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</row>
    <row r="201" spans="1:24">
      <c r="O201" s="21"/>
      <c r="P201" s="21"/>
      <c r="Q201" s="21"/>
      <c r="R201" s="21"/>
      <c r="S201" s="21"/>
      <c r="T201" s="21"/>
      <c r="U201" s="21"/>
      <c r="V201" s="21"/>
      <c r="W201" s="21"/>
      <c r="X201" s="2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0"/>
  <sheetViews>
    <sheetView tabSelected="1" workbookViewId="0">
      <pane ySplit="2055" topLeftCell="A4" activePane="bottomLeft"/>
      <selection activeCell="Y1" sqref="Y1:AF1048576"/>
      <selection pane="bottomLeft" activeCell="H13" sqref="H13"/>
    </sheetView>
  </sheetViews>
  <sheetFormatPr defaultRowHeight="15"/>
  <cols>
    <col min="1" max="2" width="9.140625" style="21"/>
    <col min="3" max="13" width="9.140625" style="534"/>
  </cols>
  <sheetData>
    <row r="1" spans="1:30">
      <c r="A1" s="12" t="s">
        <v>418</v>
      </c>
    </row>
    <row r="2" spans="1:30">
      <c r="A2" s="1" t="s">
        <v>417</v>
      </c>
    </row>
    <row r="3" spans="1:30">
      <c r="A3" s="21" t="s">
        <v>420</v>
      </c>
    </row>
    <row r="6" spans="1:30" s="21" customFormat="1">
      <c r="A6" s="21" t="s">
        <v>191</v>
      </c>
      <c r="B6" s="21" t="s">
        <v>192</v>
      </c>
      <c r="C6" s="534">
        <v>1980</v>
      </c>
      <c r="D6" s="534">
        <v>1981</v>
      </c>
      <c r="E6" s="534">
        <v>1982</v>
      </c>
      <c r="F6" s="534">
        <v>1983</v>
      </c>
      <c r="G6" s="534">
        <v>1984</v>
      </c>
      <c r="H6" s="534">
        <v>1985</v>
      </c>
      <c r="I6" s="534">
        <v>1986</v>
      </c>
      <c r="J6" s="534">
        <v>1987</v>
      </c>
      <c r="K6" s="534">
        <v>1988</v>
      </c>
      <c r="L6" s="534">
        <v>1989</v>
      </c>
      <c r="M6" s="534">
        <v>1990</v>
      </c>
      <c r="N6" s="11">
        <v>1991</v>
      </c>
      <c r="O6" s="11">
        <v>1992</v>
      </c>
      <c r="P6" s="11">
        <v>1993</v>
      </c>
      <c r="Q6" s="11">
        <v>1994</v>
      </c>
      <c r="R6" s="11">
        <v>1995</v>
      </c>
      <c r="S6" s="11">
        <v>1996</v>
      </c>
      <c r="T6" s="11">
        <v>1997</v>
      </c>
      <c r="U6" s="11">
        <v>1998</v>
      </c>
      <c r="V6" s="11">
        <v>1999</v>
      </c>
      <c r="W6" s="11">
        <v>2000</v>
      </c>
      <c r="X6" s="11">
        <v>2001</v>
      </c>
      <c r="Y6" s="11"/>
      <c r="Z6" s="11"/>
      <c r="AA6" s="11"/>
      <c r="AB6" s="11"/>
      <c r="AC6" s="22"/>
      <c r="AD6" s="11"/>
    </row>
    <row r="7" spans="1:30">
      <c r="A7" s="21">
        <v>2</v>
      </c>
      <c r="B7" s="21" t="s">
        <v>0</v>
      </c>
      <c r="C7" s="534">
        <v>4</v>
      </c>
      <c r="D7" s="534">
        <v>4</v>
      </c>
      <c r="E7" s="534">
        <v>3</v>
      </c>
      <c r="F7" s="534">
        <v>4</v>
      </c>
      <c r="G7" s="534">
        <v>4</v>
      </c>
      <c r="H7" s="534">
        <v>3</v>
      </c>
      <c r="I7" s="534">
        <v>4</v>
      </c>
      <c r="J7" s="534">
        <v>4</v>
      </c>
      <c r="K7" s="534">
        <v>4</v>
      </c>
      <c r="L7" s="534">
        <v>4</v>
      </c>
      <c r="M7" s="534">
        <v>5</v>
      </c>
      <c r="N7">
        <v>4</v>
      </c>
      <c r="O7">
        <v>4</v>
      </c>
      <c r="P7">
        <v>4</v>
      </c>
      <c r="Q7">
        <v>4</v>
      </c>
      <c r="R7">
        <v>0</v>
      </c>
      <c r="S7">
        <v>4</v>
      </c>
      <c r="T7">
        <v>4</v>
      </c>
      <c r="U7">
        <v>4</v>
      </c>
      <c r="V7">
        <v>3</v>
      </c>
      <c r="W7">
        <v>4</v>
      </c>
      <c r="X7">
        <v>5</v>
      </c>
    </row>
    <row r="8" spans="1:30">
      <c r="A8" s="21">
        <v>20</v>
      </c>
      <c r="B8" s="21" t="s">
        <v>1</v>
      </c>
      <c r="C8" s="534">
        <v>3</v>
      </c>
      <c r="D8" s="534">
        <v>0</v>
      </c>
      <c r="E8" s="534">
        <v>0</v>
      </c>
      <c r="F8" s="534">
        <v>0</v>
      </c>
      <c r="G8" s="534">
        <v>0</v>
      </c>
      <c r="H8" s="534">
        <v>0</v>
      </c>
      <c r="I8" s="534">
        <v>0</v>
      </c>
      <c r="J8" s="534">
        <v>2</v>
      </c>
      <c r="K8" s="534">
        <v>4</v>
      </c>
      <c r="L8" s="534">
        <v>4</v>
      </c>
      <c r="M8" s="534">
        <v>5</v>
      </c>
      <c r="N8">
        <v>4</v>
      </c>
      <c r="O8">
        <v>3</v>
      </c>
      <c r="P8">
        <v>4</v>
      </c>
      <c r="Q8">
        <v>4</v>
      </c>
      <c r="R8">
        <v>0</v>
      </c>
      <c r="S8">
        <v>0</v>
      </c>
      <c r="T8">
        <v>4</v>
      </c>
      <c r="U8">
        <v>0</v>
      </c>
      <c r="V8">
        <v>3</v>
      </c>
      <c r="W8">
        <v>4</v>
      </c>
      <c r="X8">
        <v>0</v>
      </c>
    </row>
    <row r="9" spans="1:30">
      <c r="A9" s="21">
        <v>31</v>
      </c>
      <c r="B9" s="21" t="s">
        <v>2</v>
      </c>
      <c r="C9" s="534">
        <v>0</v>
      </c>
      <c r="D9" s="534">
        <v>0</v>
      </c>
      <c r="E9" s="534">
        <v>0</v>
      </c>
      <c r="F9" s="534">
        <v>0</v>
      </c>
      <c r="G9" s="534">
        <v>1</v>
      </c>
      <c r="H9" s="534">
        <v>0</v>
      </c>
      <c r="I9" s="534">
        <v>0</v>
      </c>
      <c r="J9" s="534">
        <v>0</v>
      </c>
      <c r="K9" s="534">
        <v>0</v>
      </c>
      <c r="L9" s="534">
        <v>0</v>
      </c>
      <c r="M9" s="534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30">
      <c r="A10" s="21">
        <v>40</v>
      </c>
      <c r="B10" s="21" t="s">
        <v>3</v>
      </c>
      <c r="C10" s="534">
        <v>4</v>
      </c>
      <c r="D10" s="534">
        <v>4</v>
      </c>
      <c r="E10" s="534">
        <v>4</v>
      </c>
      <c r="F10" s="534">
        <v>4</v>
      </c>
      <c r="G10" s="534">
        <v>4</v>
      </c>
      <c r="H10" s="534">
        <v>4</v>
      </c>
      <c r="I10" s="534">
        <v>4</v>
      </c>
      <c r="J10" s="534">
        <v>4</v>
      </c>
      <c r="K10" s="534">
        <v>4</v>
      </c>
      <c r="L10" s="534">
        <v>0</v>
      </c>
      <c r="M10" s="534">
        <v>3</v>
      </c>
      <c r="N10">
        <v>0</v>
      </c>
      <c r="O10">
        <v>0</v>
      </c>
      <c r="P10">
        <v>0</v>
      </c>
      <c r="Q10">
        <v>0</v>
      </c>
      <c r="R10">
        <v>0</v>
      </c>
      <c r="S10">
        <v>4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30">
      <c r="A11" s="21">
        <v>41</v>
      </c>
      <c r="B11" s="21" t="s">
        <v>4</v>
      </c>
      <c r="C11" s="534">
        <v>0</v>
      </c>
      <c r="D11" s="534">
        <v>0</v>
      </c>
      <c r="E11" s="534">
        <v>0</v>
      </c>
      <c r="F11" s="534">
        <v>0</v>
      </c>
      <c r="G11" s="534">
        <v>0</v>
      </c>
      <c r="H11" s="534">
        <v>0</v>
      </c>
      <c r="I11" s="534">
        <v>1</v>
      </c>
      <c r="J11" s="534">
        <v>1</v>
      </c>
      <c r="K11" s="534">
        <v>0</v>
      </c>
      <c r="L11" s="534">
        <v>0</v>
      </c>
      <c r="M11" s="534">
        <v>0</v>
      </c>
      <c r="N11">
        <v>0</v>
      </c>
      <c r="O11">
        <v>0</v>
      </c>
      <c r="P11">
        <v>4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30">
      <c r="A12" s="21">
        <v>42</v>
      </c>
      <c r="B12" s="21" t="s">
        <v>5</v>
      </c>
      <c r="C12" s="534">
        <v>0</v>
      </c>
      <c r="D12" s="534">
        <v>0</v>
      </c>
      <c r="E12" s="534">
        <v>0</v>
      </c>
      <c r="F12" s="534">
        <v>0</v>
      </c>
      <c r="G12" s="534">
        <v>0</v>
      </c>
      <c r="H12" s="534">
        <v>0</v>
      </c>
      <c r="I12" s="534">
        <v>3</v>
      </c>
      <c r="J12" s="534">
        <v>3</v>
      </c>
      <c r="K12" s="534">
        <v>0</v>
      </c>
      <c r="L12" s="534">
        <v>0</v>
      </c>
      <c r="M12" s="534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30">
      <c r="A13" s="21">
        <v>51</v>
      </c>
      <c r="B13" s="21" t="s">
        <v>6</v>
      </c>
      <c r="C13" s="534">
        <v>0</v>
      </c>
      <c r="D13" s="534">
        <v>0</v>
      </c>
      <c r="E13" s="534">
        <v>0</v>
      </c>
      <c r="F13" s="534">
        <v>4</v>
      </c>
      <c r="G13" s="534">
        <v>0</v>
      </c>
      <c r="H13" s="534">
        <v>0</v>
      </c>
      <c r="I13" s="534">
        <v>0</v>
      </c>
      <c r="J13" s="534">
        <v>0</v>
      </c>
      <c r="K13" s="534">
        <v>0</v>
      </c>
      <c r="L13" s="534">
        <v>0</v>
      </c>
      <c r="M13" s="534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30">
      <c r="A14" s="21">
        <v>52</v>
      </c>
      <c r="B14" s="21" t="s">
        <v>7</v>
      </c>
      <c r="C14" s="534">
        <v>0</v>
      </c>
      <c r="D14" s="534">
        <v>0</v>
      </c>
      <c r="E14" s="534">
        <v>0</v>
      </c>
      <c r="F14" s="534">
        <v>0</v>
      </c>
      <c r="G14" s="534">
        <v>0</v>
      </c>
      <c r="H14" s="534">
        <v>0</v>
      </c>
      <c r="I14" s="534">
        <v>0</v>
      </c>
      <c r="J14" s="534">
        <v>0</v>
      </c>
      <c r="K14" s="534">
        <v>0</v>
      </c>
      <c r="L14" s="534">
        <v>0</v>
      </c>
      <c r="M14" s="53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</v>
      </c>
      <c r="T14">
        <v>4</v>
      </c>
      <c r="U14">
        <v>0</v>
      </c>
      <c r="V14">
        <v>4</v>
      </c>
      <c r="W14">
        <v>0</v>
      </c>
      <c r="X14">
        <v>0</v>
      </c>
    </row>
    <row r="15" spans="1:30">
      <c r="A15" s="21">
        <v>53</v>
      </c>
      <c r="B15" s="21" t="s">
        <v>8</v>
      </c>
      <c r="C15" s="534">
        <v>0</v>
      </c>
      <c r="D15" s="534">
        <v>0</v>
      </c>
      <c r="E15" s="534">
        <v>0</v>
      </c>
      <c r="F15" s="534">
        <v>4</v>
      </c>
      <c r="G15" s="534">
        <v>0</v>
      </c>
      <c r="H15" s="534">
        <v>0</v>
      </c>
      <c r="I15" s="534">
        <v>0</v>
      </c>
      <c r="J15" s="534">
        <v>0</v>
      </c>
      <c r="K15" s="534">
        <v>0</v>
      </c>
      <c r="L15" s="534">
        <v>0</v>
      </c>
      <c r="M15" s="534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30">
      <c r="A16" s="21">
        <v>54</v>
      </c>
      <c r="B16" s="21" t="s">
        <v>9</v>
      </c>
      <c r="C16" s="534">
        <v>0</v>
      </c>
      <c r="D16" s="534">
        <v>0</v>
      </c>
      <c r="E16" s="534">
        <v>0</v>
      </c>
      <c r="F16" s="534">
        <v>4</v>
      </c>
      <c r="G16" s="534">
        <v>0</v>
      </c>
      <c r="H16" s="534">
        <v>0</v>
      </c>
      <c r="I16" s="534">
        <v>0</v>
      </c>
      <c r="J16" s="534">
        <v>0</v>
      </c>
      <c r="K16" s="534">
        <v>0</v>
      </c>
      <c r="L16" s="534">
        <v>0</v>
      </c>
      <c r="M16" s="534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>
      <c r="A17" s="21">
        <v>55</v>
      </c>
      <c r="B17" s="21" t="s">
        <v>10</v>
      </c>
      <c r="C17" s="534">
        <v>0</v>
      </c>
      <c r="D17" s="534">
        <v>0</v>
      </c>
      <c r="E17" s="534">
        <v>0</v>
      </c>
      <c r="F17" s="534">
        <v>4</v>
      </c>
      <c r="G17" s="534">
        <v>0</v>
      </c>
      <c r="H17" s="534">
        <v>0</v>
      </c>
      <c r="I17" s="534">
        <v>0</v>
      </c>
      <c r="J17" s="534">
        <v>0</v>
      </c>
      <c r="K17" s="534">
        <v>0</v>
      </c>
      <c r="L17" s="534">
        <v>0</v>
      </c>
      <c r="M17" s="534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>
      <c r="A18" s="21">
        <v>56</v>
      </c>
      <c r="B18" s="21" t="s">
        <v>11</v>
      </c>
      <c r="C18" s="534">
        <v>0</v>
      </c>
      <c r="D18" s="534">
        <v>0</v>
      </c>
      <c r="E18" s="534">
        <v>0</v>
      </c>
      <c r="F18" s="534">
        <v>4</v>
      </c>
      <c r="G18" s="534">
        <v>0</v>
      </c>
      <c r="H18" s="534">
        <v>0</v>
      </c>
      <c r="I18" s="534">
        <v>0</v>
      </c>
      <c r="J18" s="534">
        <v>0</v>
      </c>
      <c r="K18" s="534">
        <v>0</v>
      </c>
      <c r="L18" s="534">
        <v>0</v>
      </c>
      <c r="M18" s="534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>
      <c r="A19" s="21">
        <v>57</v>
      </c>
      <c r="B19" s="21" t="s">
        <v>12</v>
      </c>
      <c r="C19" s="534">
        <v>0</v>
      </c>
      <c r="D19" s="534">
        <v>0</v>
      </c>
      <c r="E19" s="534">
        <v>0</v>
      </c>
      <c r="F19" s="534">
        <v>4</v>
      </c>
      <c r="G19" s="534">
        <v>0</v>
      </c>
      <c r="H19" s="534">
        <v>0</v>
      </c>
      <c r="I19" s="534">
        <v>0</v>
      </c>
      <c r="J19" s="534">
        <v>0</v>
      </c>
      <c r="K19" s="534">
        <v>0</v>
      </c>
      <c r="L19" s="534">
        <v>0</v>
      </c>
      <c r="M19" s="534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>
      <c r="A20" s="21">
        <v>58</v>
      </c>
      <c r="B20" s="21" t="s">
        <v>13</v>
      </c>
      <c r="C20" s="534">
        <v>0</v>
      </c>
      <c r="D20" s="534">
        <v>0</v>
      </c>
      <c r="E20" s="534">
        <v>0</v>
      </c>
      <c r="F20" s="534">
        <v>4</v>
      </c>
      <c r="G20" s="534">
        <v>0</v>
      </c>
      <c r="H20" s="534">
        <v>0</v>
      </c>
      <c r="I20" s="534">
        <v>0</v>
      </c>
      <c r="J20" s="534">
        <v>0</v>
      </c>
      <c r="K20" s="534">
        <v>0</v>
      </c>
      <c r="L20" s="534">
        <v>0</v>
      </c>
      <c r="M20" s="534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>
      <c r="A21" s="21">
        <v>60</v>
      </c>
      <c r="B21" s="21" t="s">
        <v>14</v>
      </c>
      <c r="C21" s="534">
        <v>0</v>
      </c>
      <c r="D21" s="534">
        <v>0</v>
      </c>
      <c r="E21" s="534">
        <v>0</v>
      </c>
      <c r="F21" s="534">
        <v>0</v>
      </c>
      <c r="G21" s="534">
        <v>0</v>
      </c>
      <c r="H21" s="534">
        <v>0</v>
      </c>
      <c r="I21" s="534">
        <v>0</v>
      </c>
      <c r="J21" s="534">
        <v>0</v>
      </c>
      <c r="K21" s="534">
        <v>0</v>
      </c>
      <c r="L21" s="534">
        <v>0</v>
      </c>
      <c r="M21" s="534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>
      <c r="A22" s="21">
        <v>70</v>
      </c>
      <c r="B22" s="21" t="s">
        <v>15</v>
      </c>
      <c r="C22" s="534">
        <v>0</v>
      </c>
      <c r="D22" s="534">
        <v>0</v>
      </c>
      <c r="E22" s="534">
        <v>1</v>
      </c>
      <c r="F22" s="534">
        <v>1</v>
      </c>
      <c r="G22" s="534">
        <v>1</v>
      </c>
      <c r="H22" s="534">
        <v>0</v>
      </c>
      <c r="I22" s="534">
        <v>0</v>
      </c>
      <c r="J22" s="534">
        <v>0</v>
      </c>
      <c r="K22" s="534">
        <v>0</v>
      </c>
      <c r="L22" s="534">
        <v>0</v>
      </c>
      <c r="M22" s="534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>
      <c r="A23" s="21">
        <v>80</v>
      </c>
      <c r="B23" s="21" t="s">
        <v>16</v>
      </c>
      <c r="C23" s="534">
        <v>0</v>
      </c>
      <c r="D23" s="534">
        <v>0</v>
      </c>
      <c r="E23" s="534">
        <v>0</v>
      </c>
      <c r="F23" s="534">
        <v>0</v>
      </c>
      <c r="G23" s="534">
        <v>0</v>
      </c>
      <c r="H23" s="534">
        <v>0</v>
      </c>
      <c r="I23" s="534">
        <v>0</v>
      </c>
      <c r="J23" s="534">
        <v>0</v>
      </c>
      <c r="K23" s="534">
        <v>0</v>
      </c>
      <c r="L23" s="534">
        <v>0</v>
      </c>
      <c r="M23" s="534">
        <v>0</v>
      </c>
      <c r="N23">
        <v>0</v>
      </c>
      <c r="O23">
        <v>0</v>
      </c>
      <c r="P23">
        <v>3</v>
      </c>
      <c r="Q23">
        <v>0</v>
      </c>
      <c r="R23">
        <v>3</v>
      </c>
      <c r="S23">
        <v>0</v>
      </c>
      <c r="T23">
        <v>3</v>
      </c>
      <c r="U23">
        <v>0</v>
      </c>
      <c r="V23">
        <v>0</v>
      </c>
      <c r="W23">
        <v>4</v>
      </c>
      <c r="X23">
        <v>0</v>
      </c>
    </row>
    <row r="24" spans="1:24">
      <c r="A24" s="21">
        <v>90</v>
      </c>
      <c r="B24" s="21" t="s">
        <v>17</v>
      </c>
      <c r="C24" s="534">
        <v>0</v>
      </c>
      <c r="D24" s="534">
        <v>0</v>
      </c>
      <c r="E24" s="534">
        <v>4</v>
      </c>
      <c r="F24" s="534">
        <v>4</v>
      </c>
      <c r="G24" s="534">
        <v>4</v>
      </c>
      <c r="H24" s="534">
        <v>0</v>
      </c>
      <c r="I24" s="534">
        <v>0</v>
      </c>
      <c r="J24" s="534">
        <v>0</v>
      </c>
      <c r="K24" s="534">
        <v>0</v>
      </c>
      <c r="L24" s="534">
        <v>0</v>
      </c>
      <c r="M24" s="534">
        <v>0</v>
      </c>
      <c r="N24">
        <v>0</v>
      </c>
      <c r="O24">
        <v>0</v>
      </c>
      <c r="P24">
        <v>3</v>
      </c>
      <c r="Q24">
        <v>0</v>
      </c>
      <c r="R24">
        <v>3</v>
      </c>
      <c r="S24">
        <v>0</v>
      </c>
      <c r="T24">
        <v>3</v>
      </c>
      <c r="U24">
        <v>0</v>
      </c>
      <c r="V24">
        <v>0</v>
      </c>
      <c r="W24">
        <v>3</v>
      </c>
      <c r="X24">
        <v>0</v>
      </c>
    </row>
    <row r="25" spans="1:24">
      <c r="A25" s="21">
        <v>91</v>
      </c>
      <c r="B25" s="21" t="s">
        <v>18</v>
      </c>
      <c r="C25" s="534">
        <v>0</v>
      </c>
      <c r="D25" s="534">
        <v>3</v>
      </c>
      <c r="E25" s="534">
        <v>3</v>
      </c>
      <c r="F25" s="534">
        <v>3</v>
      </c>
      <c r="G25" s="534">
        <v>3</v>
      </c>
      <c r="H25" s="534">
        <v>3</v>
      </c>
      <c r="I25" s="534">
        <v>1</v>
      </c>
      <c r="J25" s="534">
        <v>1</v>
      </c>
      <c r="K25" s="534">
        <v>1</v>
      </c>
      <c r="L25" s="534">
        <v>4</v>
      </c>
      <c r="M25" s="534">
        <v>0</v>
      </c>
      <c r="N25">
        <v>4</v>
      </c>
      <c r="O25">
        <v>0</v>
      </c>
      <c r="P25">
        <v>3</v>
      </c>
      <c r="Q25">
        <v>0</v>
      </c>
      <c r="R25">
        <v>4</v>
      </c>
      <c r="S25">
        <v>0</v>
      </c>
      <c r="T25">
        <v>4</v>
      </c>
      <c r="U25">
        <v>0</v>
      </c>
      <c r="V25">
        <v>4</v>
      </c>
      <c r="W25">
        <v>4</v>
      </c>
      <c r="X25">
        <v>3</v>
      </c>
    </row>
    <row r="26" spans="1:24">
      <c r="A26" s="21">
        <v>92</v>
      </c>
      <c r="B26" s="21" t="s">
        <v>19</v>
      </c>
      <c r="C26" s="534">
        <v>0</v>
      </c>
      <c r="D26" s="534">
        <v>0</v>
      </c>
      <c r="E26" s="534">
        <v>0</v>
      </c>
      <c r="F26" s="534">
        <v>0</v>
      </c>
      <c r="G26" s="534">
        <v>0</v>
      </c>
      <c r="H26" s="534">
        <v>1</v>
      </c>
      <c r="I26" s="534">
        <v>0</v>
      </c>
      <c r="J26" s="534">
        <v>0</v>
      </c>
      <c r="K26" s="534">
        <v>0</v>
      </c>
      <c r="L26" s="534">
        <v>4</v>
      </c>
      <c r="M26" s="534">
        <v>0</v>
      </c>
      <c r="N26">
        <v>0</v>
      </c>
      <c r="O26">
        <v>0</v>
      </c>
      <c r="P26">
        <v>3</v>
      </c>
      <c r="Q26">
        <v>0</v>
      </c>
      <c r="R26">
        <v>0</v>
      </c>
      <c r="S26">
        <v>0</v>
      </c>
      <c r="T26">
        <v>4</v>
      </c>
      <c r="U26">
        <v>0</v>
      </c>
      <c r="V26">
        <v>0</v>
      </c>
      <c r="W26">
        <v>0</v>
      </c>
      <c r="X26">
        <v>0</v>
      </c>
    </row>
    <row r="27" spans="1:24">
      <c r="A27" s="21">
        <v>93</v>
      </c>
      <c r="B27" s="21" t="s">
        <v>20</v>
      </c>
      <c r="C27" s="534">
        <v>1</v>
      </c>
      <c r="D27" s="534">
        <v>3</v>
      </c>
      <c r="E27" s="534">
        <v>3</v>
      </c>
      <c r="F27" s="534">
        <v>4</v>
      </c>
      <c r="G27" s="534">
        <v>4</v>
      </c>
      <c r="H27" s="534">
        <v>4</v>
      </c>
      <c r="I27" s="534">
        <v>4</v>
      </c>
      <c r="J27" s="534">
        <v>4</v>
      </c>
      <c r="K27" s="534">
        <v>4</v>
      </c>
      <c r="L27" s="534">
        <v>4</v>
      </c>
      <c r="M27" s="534">
        <v>0</v>
      </c>
      <c r="N27">
        <v>4</v>
      </c>
      <c r="O27">
        <v>0</v>
      </c>
      <c r="P27">
        <v>0</v>
      </c>
      <c r="Q27">
        <v>4</v>
      </c>
      <c r="R27">
        <v>4</v>
      </c>
      <c r="S27">
        <v>0</v>
      </c>
      <c r="T27">
        <v>4</v>
      </c>
      <c r="U27">
        <v>4</v>
      </c>
      <c r="V27">
        <v>4</v>
      </c>
      <c r="W27">
        <v>4</v>
      </c>
      <c r="X27">
        <v>4</v>
      </c>
    </row>
    <row r="28" spans="1:24">
      <c r="A28" s="21">
        <v>94</v>
      </c>
      <c r="B28" s="21" t="s">
        <v>21</v>
      </c>
      <c r="C28" s="534">
        <v>0</v>
      </c>
      <c r="D28" s="534">
        <v>0</v>
      </c>
      <c r="E28" s="534">
        <v>0</v>
      </c>
      <c r="F28" s="534">
        <v>1</v>
      </c>
      <c r="G28" s="534">
        <v>1</v>
      </c>
      <c r="H28" s="534">
        <v>4</v>
      </c>
      <c r="I28" s="534">
        <v>4</v>
      </c>
      <c r="J28" s="534">
        <v>4</v>
      </c>
      <c r="K28" s="534">
        <v>1</v>
      </c>
      <c r="L28" s="534">
        <v>0</v>
      </c>
      <c r="M28" s="534">
        <v>0</v>
      </c>
      <c r="N28">
        <v>0</v>
      </c>
      <c r="O28">
        <v>0</v>
      </c>
      <c r="P28">
        <v>0</v>
      </c>
      <c r="Q28">
        <v>0</v>
      </c>
      <c r="R28">
        <v>4</v>
      </c>
      <c r="S28">
        <v>0</v>
      </c>
      <c r="T28">
        <v>0</v>
      </c>
      <c r="U28">
        <v>3</v>
      </c>
      <c r="V28">
        <v>0</v>
      </c>
      <c r="W28">
        <v>0</v>
      </c>
      <c r="X28">
        <v>0</v>
      </c>
    </row>
    <row r="29" spans="1:24">
      <c r="A29" s="21">
        <v>95</v>
      </c>
      <c r="B29" s="21" t="s">
        <v>22</v>
      </c>
      <c r="C29" s="534">
        <v>0</v>
      </c>
      <c r="D29" s="534">
        <v>0</v>
      </c>
      <c r="E29" s="534">
        <v>0</v>
      </c>
      <c r="F29" s="534">
        <v>0</v>
      </c>
      <c r="G29" s="534">
        <v>1</v>
      </c>
      <c r="H29" s="534">
        <v>1</v>
      </c>
      <c r="I29" s="534">
        <v>0</v>
      </c>
      <c r="J29" s="534">
        <v>4</v>
      </c>
      <c r="K29" s="534">
        <v>4</v>
      </c>
      <c r="L29" s="534">
        <v>4</v>
      </c>
      <c r="M29" s="534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>
      <c r="A30" s="21">
        <v>100</v>
      </c>
      <c r="B30" s="21" t="s">
        <v>23</v>
      </c>
      <c r="C30" s="534">
        <v>3</v>
      </c>
      <c r="D30" s="534">
        <v>0</v>
      </c>
      <c r="E30" s="534">
        <v>4</v>
      </c>
      <c r="F30" s="534">
        <v>0</v>
      </c>
      <c r="G30" s="534">
        <v>0</v>
      </c>
      <c r="H30" s="534">
        <v>0</v>
      </c>
      <c r="I30" s="534">
        <v>1</v>
      </c>
      <c r="J30" s="534">
        <v>3</v>
      </c>
      <c r="K30" s="534">
        <v>4</v>
      </c>
      <c r="L30" s="534">
        <v>0</v>
      </c>
      <c r="M30" s="534">
        <v>0</v>
      </c>
      <c r="N30">
        <v>0</v>
      </c>
      <c r="O30">
        <v>0</v>
      </c>
      <c r="P30">
        <v>0</v>
      </c>
      <c r="Q30">
        <v>4</v>
      </c>
      <c r="R30">
        <v>4</v>
      </c>
      <c r="S30">
        <v>0</v>
      </c>
      <c r="T30">
        <v>4</v>
      </c>
      <c r="U30">
        <v>0</v>
      </c>
      <c r="V30">
        <v>0</v>
      </c>
      <c r="W30">
        <v>4</v>
      </c>
      <c r="X30">
        <v>4</v>
      </c>
    </row>
    <row r="31" spans="1:24">
      <c r="A31" s="21">
        <v>101</v>
      </c>
      <c r="B31" s="21" t="s">
        <v>24</v>
      </c>
      <c r="C31" s="534">
        <v>0</v>
      </c>
      <c r="D31" s="534">
        <v>3</v>
      </c>
      <c r="E31" s="534">
        <v>4</v>
      </c>
      <c r="F31" s="534">
        <v>0</v>
      </c>
      <c r="G31" s="534">
        <v>0</v>
      </c>
      <c r="H31" s="534">
        <v>0</v>
      </c>
      <c r="I31" s="534">
        <v>2</v>
      </c>
      <c r="J31" s="534">
        <v>4</v>
      </c>
      <c r="K31" s="534">
        <v>4</v>
      </c>
      <c r="L31" s="534">
        <v>0</v>
      </c>
      <c r="M31" s="534">
        <v>0</v>
      </c>
      <c r="N31">
        <v>0</v>
      </c>
      <c r="O31">
        <v>0</v>
      </c>
      <c r="P31">
        <v>0</v>
      </c>
      <c r="Q31">
        <v>4</v>
      </c>
      <c r="R31">
        <v>4</v>
      </c>
      <c r="S31">
        <v>4</v>
      </c>
      <c r="T31">
        <v>4</v>
      </c>
      <c r="U31">
        <v>0</v>
      </c>
      <c r="V31">
        <v>3</v>
      </c>
      <c r="W31">
        <v>4</v>
      </c>
      <c r="X31">
        <v>0</v>
      </c>
    </row>
    <row r="32" spans="1:24">
      <c r="A32" s="21">
        <v>110</v>
      </c>
      <c r="B32" s="21" t="s">
        <v>25</v>
      </c>
      <c r="C32" s="534">
        <v>0</v>
      </c>
      <c r="D32" s="534">
        <v>3</v>
      </c>
      <c r="E32" s="534">
        <v>1</v>
      </c>
      <c r="F32" s="534">
        <v>0</v>
      </c>
      <c r="G32" s="534">
        <v>0</v>
      </c>
      <c r="H32" s="534">
        <v>0</v>
      </c>
      <c r="I32" s="534">
        <v>0</v>
      </c>
      <c r="J32" s="534">
        <v>0</v>
      </c>
      <c r="K32" s="534">
        <v>0</v>
      </c>
      <c r="L32" s="534">
        <v>0</v>
      </c>
      <c r="M32" s="534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3</v>
      </c>
      <c r="W32">
        <v>3</v>
      </c>
      <c r="X32">
        <v>0</v>
      </c>
    </row>
    <row r="33" spans="1:24">
      <c r="A33" s="21">
        <v>115</v>
      </c>
      <c r="B33" s="21" t="s">
        <v>26</v>
      </c>
      <c r="C33" s="534">
        <v>0</v>
      </c>
      <c r="D33" s="534">
        <v>0</v>
      </c>
      <c r="E33" s="534">
        <v>0</v>
      </c>
      <c r="F33" s="534">
        <v>0</v>
      </c>
      <c r="G33" s="534">
        <v>0</v>
      </c>
      <c r="H33" s="534">
        <v>0</v>
      </c>
      <c r="I33" s="534">
        <v>0</v>
      </c>
      <c r="J33" s="534">
        <v>0</v>
      </c>
      <c r="K33" s="534">
        <v>0</v>
      </c>
      <c r="L33" s="534">
        <v>0</v>
      </c>
      <c r="M33" s="534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3</v>
      </c>
      <c r="X33">
        <v>0</v>
      </c>
    </row>
    <row r="34" spans="1:24">
      <c r="A34" s="21">
        <v>130</v>
      </c>
      <c r="B34" s="21" t="s">
        <v>27</v>
      </c>
      <c r="C34" s="534">
        <v>4</v>
      </c>
      <c r="D34" s="534">
        <v>4</v>
      </c>
      <c r="E34" s="534">
        <v>0</v>
      </c>
      <c r="F34" s="534">
        <v>0</v>
      </c>
      <c r="G34" s="534">
        <v>4</v>
      </c>
      <c r="H34" s="534">
        <v>0</v>
      </c>
      <c r="I34" s="534">
        <v>0</v>
      </c>
      <c r="J34" s="534">
        <v>0</v>
      </c>
      <c r="K34" s="534">
        <v>0</v>
      </c>
      <c r="L34" s="534">
        <v>0</v>
      </c>
      <c r="M34" s="534">
        <v>0</v>
      </c>
      <c r="N34">
        <v>3</v>
      </c>
      <c r="O34">
        <v>0</v>
      </c>
      <c r="P34">
        <v>0</v>
      </c>
      <c r="Q34">
        <v>0</v>
      </c>
      <c r="R34">
        <v>4</v>
      </c>
      <c r="S34">
        <v>0</v>
      </c>
      <c r="T34">
        <v>4</v>
      </c>
      <c r="U34">
        <v>4</v>
      </c>
      <c r="V34">
        <v>0</v>
      </c>
      <c r="W34">
        <v>0</v>
      </c>
      <c r="X34">
        <v>0</v>
      </c>
    </row>
    <row r="35" spans="1:24">
      <c r="A35" s="21">
        <v>135</v>
      </c>
      <c r="B35" s="21" t="s">
        <v>28</v>
      </c>
      <c r="C35" s="534">
        <v>0</v>
      </c>
      <c r="D35" s="534">
        <v>4</v>
      </c>
      <c r="E35" s="534">
        <v>0</v>
      </c>
      <c r="F35" s="534">
        <v>0</v>
      </c>
      <c r="G35" s="534">
        <v>4</v>
      </c>
      <c r="H35" s="534">
        <v>0</v>
      </c>
      <c r="I35" s="534">
        <v>0</v>
      </c>
      <c r="J35" s="534">
        <v>0</v>
      </c>
      <c r="K35" s="534">
        <v>0</v>
      </c>
      <c r="L35" s="534">
        <v>0</v>
      </c>
      <c r="M35" s="534">
        <v>0</v>
      </c>
      <c r="N35">
        <v>3</v>
      </c>
      <c r="O35">
        <v>4</v>
      </c>
      <c r="P35">
        <v>0</v>
      </c>
      <c r="Q35">
        <v>0</v>
      </c>
      <c r="R35">
        <v>4</v>
      </c>
      <c r="S35">
        <v>0</v>
      </c>
      <c r="T35">
        <v>4</v>
      </c>
      <c r="U35">
        <v>4</v>
      </c>
      <c r="V35">
        <v>0</v>
      </c>
      <c r="W35">
        <v>0</v>
      </c>
      <c r="X35">
        <v>0</v>
      </c>
    </row>
    <row r="36" spans="1:24">
      <c r="A36" s="21">
        <v>140</v>
      </c>
      <c r="B36" s="21" t="s">
        <v>29</v>
      </c>
      <c r="C36" s="534">
        <v>0</v>
      </c>
      <c r="D36" s="534">
        <v>0</v>
      </c>
      <c r="E36" s="534">
        <v>0</v>
      </c>
      <c r="F36" s="534">
        <v>4</v>
      </c>
      <c r="G36" s="534">
        <v>0</v>
      </c>
      <c r="H36" s="534">
        <v>0</v>
      </c>
      <c r="I36" s="534">
        <v>0</v>
      </c>
      <c r="J36" s="534">
        <v>0</v>
      </c>
      <c r="K36" s="534">
        <v>0</v>
      </c>
      <c r="L36" s="534">
        <v>0</v>
      </c>
      <c r="M36" s="534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</row>
    <row r="37" spans="1:24">
      <c r="A37" s="21">
        <v>145</v>
      </c>
      <c r="B37" s="21" t="s">
        <v>30</v>
      </c>
      <c r="C37" s="534">
        <v>0</v>
      </c>
      <c r="D37" s="534">
        <v>0</v>
      </c>
      <c r="E37" s="534">
        <v>0</v>
      </c>
      <c r="F37" s="534">
        <v>0</v>
      </c>
      <c r="G37" s="534">
        <v>0</v>
      </c>
      <c r="H37" s="534">
        <v>0</v>
      </c>
      <c r="I37" s="534">
        <v>0</v>
      </c>
      <c r="J37" s="534">
        <v>0</v>
      </c>
      <c r="K37" s="534">
        <v>0</v>
      </c>
      <c r="L37" s="534">
        <v>0</v>
      </c>
      <c r="M37" s="534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>
      <c r="A38" s="21">
        <v>150</v>
      </c>
      <c r="B38" s="21" t="s">
        <v>31</v>
      </c>
      <c r="C38" s="534">
        <v>0</v>
      </c>
      <c r="D38" s="534">
        <v>0</v>
      </c>
      <c r="E38" s="534">
        <v>0</v>
      </c>
      <c r="F38" s="534">
        <v>0</v>
      </c>
      <c r="G38" s="534">
        <v>0</v>
      </c>
      <c r="H38" s="534">
        <v>0</v>
      </c>
      <c r="I38" s="534">
        <v>0</v>
      </c>
      <c r="J38" s="534">
        <v>0</v>
      </c>
      <c r="K38" s="534">
        <v>0</v>
      </c>
      <c r="L38" s="534">
        <v>0</v>
      </c>
      <c r="M38" s="534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>
      <c r="A39" s="21">
        <v>155</v>
      </c>
      <c r="B39" s="21" t="s">
        <v>32</v>
      </c>
      <c r="C39" s="534">
        <v>4</v>
      </c>
      <c r="D39" s="534">
        <v>4</v>
      </c>
      <c r="E39" s="534">
        <v>4</v>
      </c>
      <c r="F39" s="534">
        <v>3</v>
      </c>
      <c r="G39" s="534">
        <v>1</v>
      </c>
      <c r="H39" s="534">
        <v>0</v>
      </c>
      <c r="I39" s="534">
        <v>0</v>
      </c>
      <c r="J39" s="534">
        <v>0</v>
      </c>
      <c r="K39" s="534">
        <v>0</v>
      </c>
      <c r="L39" s="534">
        <v>0</v>
      </c>
      <c r="M39" s="534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>
      <c r="A40" s="21">
        <v>160</v>
      </c>
      <c r="B40" s="21" t="s">
        <v>33</v>
      </c>
      <c r="C40" s="534">
        <v>4</v>
      </c>
      <c r="D40" s="534">
        <v>0</v>
      </c>
      <c r="E40" s="534">
        <v>5</v>
      </c>
      <c r="F40" s="534">
        <v>4</v>
      </c>
      <c r="G40" s="534">
        <v>4</v>
      </c>
      <c r="H40" s="534">
        <v>0</v>
      </c>
      <c r="I40" s="534">
        <v>4</v>
      </c>
      <c r="J40" s="534">
        <v>4</v>
      </c>
      <c r="K40" s="534">
        <v>0</v>
      </c>
      <c r="L40" s="534">
        <v>0</v>
      </c>
      <c r="M40" s="534">
        <v>3</v>
      </c>
      <c r="N40">
        <v>0</v>
      </c>
      <c r="O40">
        <v>0</v>
      </c>
      <c r="P40">
        <v>4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3</v>
      </c>
      <c r="X40">
        <v>0</v>
      </c>
    </row>
    <row r="41" spans="1:24">
      <c r="A41" s="21">
        <v>165</v>
      </c>
      <c r="B41" s="21" t="s">
        <v>34</v>
      </c>
      <c r="C41" s="534">
        <v>0</v>
      </c>
      <c r="D41" s="534">
        <v>0</v>
      </c>
      <c r="E41" s="534">
        <v>0</v>
      </c>
      <c r="F41" s="534">
        <v>0</v>
      </c>
      <c r="G41" s="534">
        <v>0</v>
      </c>
      <c r="H41" s="534">
        <v>0</v>
      </c>
      <c r="I41" s="534">
        <v>0</v>
      </c>
      <c r="J41" s="534">
        <v>0</v>
      </c>
      <c r="K41" s="534">
        <v>0</v>
      </c>
      <c r="L41" s="534">
        <v>0</v>
      </c>
      <c r="M41" s="534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</row>
    <row r="42" spans="1:24">
      <c r="A42" s="21">
        <v>200</v>
      </c>
      <c r="B42" s="21" t="s">
        <v>35</v>
      </c>
      <c r="C42" s="534">
        <v>3</v>
      </c>
      <c r="D42" s="534">
        <v>0</v>
      </c>
      <c r="E42" s="534">
        <v>5</v>
      </c>
      <c r="F42" s="534">
        <v>1</v>
      </c>
      <c r="G42" s="534">
        <v>1</v>
      </c>
      <c r="H42" s="534">
        <v>3</v>
      </c>
      <c r="I42" s="534">
        <v>3</v>
      </c>
      <c r="J42" s="534">
        <v>0</v>
      </c>
      <c r="K42" s="534">
        <v>1</v>
      </c>
      <c r="L42" s="534">
        <v>0</v>
      </c>
      <c r="M42" s="534">
        <v>5</v>
      </c>
      <c r="N42">
        <v>0</v>
      </c>
      <c r="O42">
        <v>4</v>
      </c>
      <c r="P42">
        <v>0</v>
      </c>
      <c r="Q42">
        <v>0</v>
      </c>
      <c r="R42">
        <v>0</v>
      </c>
      <c r="S42">
        <v>4</v>
      </c>
      <c r="T42">
        <v>0</v>
      </c>
      <c r="U42">
        <v>0</v>
      </c>
      <c r="V42">
        <v>3</v>
      </c>
      <c r="W42">
        <v>4</v>
      </c>
      <c r="X42">
        <v>5</v>
      </c>
    </row>
    <row r="43" spans="1:24">
      <c r="A43" s="21">
        <v>205</v>
      </c>
      <c r="B43" s="21" t="s">
        <v>36</v>
      </c>
      <c r="C43" s="534">
        <v>0</v>
      </c>
      <c r="D43" s="534">
        <v>0</v>
      </c>
      <c r="E43" s="534">
        <v>0</v>
      </c>
      <c r="F43" s="534">
        <v>0</v>
      </c>
      <c r="G43" s="534">
        <v>4</v>
      </c>
      <c r="H43" s="534">
        <v>4</v>
      </c>
      <c r="I43" s="534">
        <v>0</v>
      </c>
      <c r="J43" s="534">
        <v>0</v>
      </c>
      <c r="K43" s="534">
        <v>0</v>
      </c>
      <c r="L43" s="534">
        <v>0</v>
      </c>
      <c r="M43" s="534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3</v>
      </c>
      <c r="X43">
        <v>0</v>
      </c>
    </row>
    <row r="44" spans="1:24">
      <c r="A44" s="21">
        <v>210</v>
      </c>
      <c r="B44" s="21" t="s">
        <v>37</v>
      </c>
      <c r="C44" s="534">
        <v>3</v>
      </c>
      <c r="D44" s="534">
        <v>0</v>
      </c>
      <c r="E44" s="534">
        <v>0</v>
      </c>
      <c r="F44" s="534">
        <v>0</v>
      </c>
      <c r="G44" s="534">
        <v>0</v>
      </c>
      <c r="H44" s="534">
        <v>1</v>
      </c>
      <c r="I44" s="534">
        <v>1</v>
      </c>
      <c r="J44" s="534">
        <v>3</v>
      </c>
      <c r="K44" s="534">
        <v>0</v>
      </c>
      <c r="L44" s="534">
        <v>0</v>
      </c>
      <c r="M44" s="534">
        <v>3</v>
      </c>
      <c r="N44">
        <v>0</v>
      </c>
      <c r="O44">
        <v>4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3</v>
      </c>
      <c r="W44">
        <v>3</v>
      </c>
      <c r="X44">
        <v>0</v>
      </c>
    </row>
    <row r="45" spans="1:24">
      <c r="A45" s="21">
        <v>211</v>
      </c>
      <c r="B45" s="21" t="s">
        <v>38</v>
      </c>
      <c r="C45" s="534">
        <v>0</v>
      </c>
      <c r="D45" s="534">
        <v>0</v>
      </c>
      <c r="E45" s="534">
        <v>0</v>
      </c>
      <c r="F45" s="534">
        <v>0</v>
      </c>
      <c r="G45" s="534">
        <v>0</v>
      </c>
      <c r="H45" s="534">
        <v>1</v>
      </c>
      <c r="I45" s="534">
        <v>0</v>
      </c>
      <c r="J45" s="534">
        <v>3</v>
      </c>
      <c r="K45" s="534">
        <v>0</v>
      </c>
      <c r="L45" s="534">
        <v>0</v>
      </c>
      <c r="M45" s="534">
        <v>3</v>
      </c>
      <c r="N45">
        <v>3</v>
      </c>
      <c r="O45">
        <v>4</v>
      </c>
      <c r="P45">
        <v>2</v>
      </c>
      <c r="Q45">
        <v>0</v>
      </c>
      <c r="R45">
        <v>0</v>
      </c>
      <c r="S45">
        <v>0</v>
      </c>
      <c r="T45">
        <v>0</v>
      </c>
      <c r="U45">
        <v>0</v>
      </c>
      <c r="V45">
        <v>3</v>
      </c>
      <c r="W45">
        <v>3</v>
      </c>
      <c r="X45">
        <v>0</v>
      </c>
    </row>
    <row r="46" spans="1:24">
      <c r="A46" s="21">
        <v>212</v>
      </c>
      <c r="B46" s="21" t="s">
        <v>39</v>
      </c>
      <c r="C46" s="534">
        <v>0</v>
      </c>
      <c r="D46" s="534">
        <v>0</v>
      </c>
      <c r="E46" s="534">
        <v>0</v>
      </c>
      <c r="F46" s="534">
        <v>0</v>
      </c>
      <c r="G46" s="534">
        <v>0</v>
      </c>
      <c r="H46" s="534">
        <v>0</v>
      </c>
      <c r="I46" s="534">
        <v>0</v>
      </c>
      <c r="J46" s="534">
        <v>0</v>
      </c>
      <c r="K46" s="534">
        <v>0</v>
      </c>
      <c r="L46" s="534">
        <v>0</v>
      </c>
      <c r="M46" s="534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1:24">
      <c r="A47" s="21">
        <v>220</v>
      </c>
      <c r="B47" s="21" t="s">
        <v>40</v>
      </c>
      <c r="C47" s="534">
        <v>4</v>
      </c>
      <c r="D47" s="534">
        <v>3</v>
      </c>
      <c r="E47" s="534">
        <v>0</v>
      </c>
      <c r="F47" s="534">
        <v>4</v>
      </c>
      <c r="G47" s="534">
        <v>4</v>
      </c>
      <c r="H47" s="534">
        <v>4</v>
      </c>
      <c r="I47" s="534">
        <v>3</v>
      </c>
      <c r="J47" s="534">
        <v>3</v>
      </c>
      <c r="K47" s="534">
        <v>2</v>
      </c>
      <c r="L47" s="534">
        <v>4</v>
      </c>
      <c r="M47" s="534">
        <v>5</v>
      </c>
      <c r="N47">
        <v>3</v>
      </c>
      <c r="O47">
        <v>4</v>
      </c>
      <c r="P47">
        <v>4</v>
      </c>
      <c r="Q47">
        <v>0</v>
      </c>
      <c r="R47">
        <v>0</v>
      </c>
      <c r="S47">
        <v>0</v>
      </c>
      <c r="T47">
        <v>0</v>
      </c>
      <c r="U47">
        <v>0</v>
      </c>
      <c r="V47">
        <v>3</v>
      </c>
      <c r="W47">
        <v>3</v>
      </c>
      <c r="X47">
        <v>5</v>
      </c>
    </row>
    <row r="48" spans="1:24">
      <c r="A48" s="21">
        <v>223</v>
      </c>
      <c r="B48" s="21" t="s">
        <v>42</v>
      </c>
      <c r="C48" s="534">
        <v>0</v>
      </c>
      <c r="D48" s="534">
        <v>0</v>
      </c>
      <c r="E48" s="534">
        <v>0</v>
      </c>
      <c r="F48" s="534">
        <v>0</v>
      </c>
      <c r="G48" s="534">
        <v>0</v>
      </c>
      <c r="H48" s="534">
        <v>0</v>
      </c>
      <c r="I48" s="534">
        <v>0</v>
      </c>
      <c r="J48" s="534">
        <v>0</v>
      </c>
      <c r="K48" s="534">
        <v>0</v>
      </c>
      <c r="L48" s="534">
        <v>0</v>
      </c>
      <c r="M48" s="534">
        <v>0</v>
      </c>
      <c r="N48">
        <v>0</v>
      </c>
      <c r="O48">
        <v>3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>
      <c r="A49" s="21">
        <v>225</v>
      </c>
      <c r="B49" s="21" t="s">
        <v>43</v>
      </c>
      <c r="C49" s="534">
        <v>0</v>
      </c>
      <c r="D49" s="534">
        <v>0</v>
      </c>
      <c r="E49" s="534">
        <v>0</v>
      </c>
      <c r="F49" s="534">
        <v>0</v>
      </c>
      <c r="G49" s="534">
        <v>0</v>
      </c>
      <c r="H49" s="534">
        <v>0</v>
      </c>
      <c r="I49" s="534">
        <v>0</v>
      </c>
      <c r="J49" s="534">
        <v>0</v>
      </c>
      <c r="K49" s="534">
        <v>0</v>
      </c>
      <c r="L49" s="534">
        <v>0</v>
      </c>
      <c r="M49" s="534">
        <v>0</v>
      </c>
      <c r="N49">
        <v>0</v>
      </c>
      <c r="O49">
        <v>3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3</v>
      </c>
      <c r="X49">
        <v>0</v>
      </c>
    </row>
    <row r="50" spans="1:24">
      <c r="A50" s="21">
        <v>230</v>
      </c>
      <c r="B50" s="21" t="s">
        <v>44</v>
      </c>
      <c r="C50" s="534">
        <v>1</v>
      </c>
      <c r="D50" s="534">
        <v>0</v>
      </c>
      <c r="E50" s="534">
        <v>0</v>
      </c>
      <c r="F50" s="534">
        <v>0</v>
      </c>
      <c r="G50" s="534">
        <v>1</v>
      </c>
      <c r="H50" s="534">
        <v>1</v>
      </c>
      <c r="I50" s="534">
        <v>3</v>
      </c>
      <c r="J50" s="534">
        <v>1</v>
      </c>
      <c r="K50" s="534">
        <v>1</v>
      </c>
      <c r="L50" s="534">
        <v>0</v>
      </c>
      <c r="M50" s="534">
        <v>3</v>
      </c>
      <c r="N50">
        <v>0</v>
      </c>
      <c r="O50">
        <v>4</v>
      </c>
      <c r="P50">
        <v>0</v>
      </c>
      <c r="Q50">
        <v>4</v>
      </c>
      <c r="R50">
        <v>0</v>
      </c>
      <c r="S50">
        <v>0</v>
      </c>
      <c r="T50">
        <v>0</v>
      </c>
      <c r="U50">
        <v>0</v>
      </c>
      <c r="V50">
        <v>3</v>
      </c>
      <c r="W50">
        <v>3</v>
      </c>
      <c r="X50">
        <v>0</v>
      </c>
    </row>
    <row r="51" spans="1:24">
      <c r="A51" s="21">
        <v>232</v>
      </c>
      <c r="B51" s="21" t="s">
        <v>45</v>
      </c>
      <c r="C51" s="534">
        <v>0</v>
      </c>
      <c r="D51" s="534">
        <v>0</v>
      </c>
      <c r="E51" s="534">
        <v>0</v>
      </c>
      <c r="F51" s="534">
        <v>0</v>
      </c>
      <c r="G51" s="534">
        <v>0</v>
      </c>
      <c r="H51" s="534">
        <v>0</v>
      </c>
      <c r="I51" s="534">
        <v>0</v>
      </c>
      <c r="J51" s="534">
        <v>0</v>
      </c>
      <c r="K51" s="534">
        <v>0</v>
      </c>
      <c r="L51" s="534">
        <v>0</v>
      </c>
      <c r="M51" s="534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>
      <c r="A52" s="21">
        <v>235</v>
      </c>
      <c r="B52" s="21" t="s">
        <v>46</v>
      </c>
      <c r="C52" s="534">
        <v>0</v>
      </c>
      <c r="D52" s="534">
        <v>0</v>
      </c>
      <c r="E52" s="534">
        <v>0</v>
      </c>
      <c r="F52" s="534">
        <v>0</v>
      </c>
      <c r="G52" s="534">
        <v>0</v>
      </c>
      <c r="H52" s="534">
        <v>0</v>
      </c>
      <c r="I52" s="534">
        <v>0</v>
      </c>
      <c r="J52" s="534">
        <v>0</v>
      </c>
      <c r="K52" s="534">
        <v>0</v>
      </c>
      <c r="L52" s="534">
        <v>0</v>
      </c>
      <c r="M52" s="534">
        <v>0</v>
      </c>
      <c r="N52">
        <v>0</v>
      </c>
      <c r="O52">
        <v>3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3</v>
      </c>
      <c r="W52">
        <v>3</v>
      </c>
      <c r="X52">
        <v>0</v>
      </c>
    </row>
    <row r="53" spans="1:24">
      <c r="A53" s="21">
        <v>255</v>
      </c>
      <c r="B53" s="21" t="s">
        <v>47</v>
      </c>
      <c r="C53" s="534">
        <v>0</v>
      </c>
      <c r="D53" s="534">
        <v>0</v>
      </c>
      <c r="E53" s="534">
        <v>0</v>
      </c>
      <c r="F53" s="534">
        <v>0</v>
      </c>
      <c r="G53" s="534">
        <v>0</v>
      </c>
      <c r="H53" s="534">
        <v>0</v>
      </c>
      <c r="I53" s="534">
        <v>0</v>
      </c>
      <c r="J53" s="534">
        <v>0</v>
      </c>
      <c r="K53" s="534">
        <v>0</v>
      </c>
      <c r="L53" s="534">
        <v>0</v>
      </c>
      <c r="M53" s="534">
        <v>0</v>
      </c>
      <c r="N53">
        <v>0</v>
      </c>
      <c r="O53">
        <v>4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3</v>
      </c>
      <c r="W53">
        <v>3</v>
      </c>
      <c r="X53">
        <v>0</v>
      </c>
    </row>
    <row r="54" spans="1:24">
      <c r="A54" s="21">
        <v>290</v>
      </c>
      <c r="B54" s="21" t="s">
        <v>48</v>
      </c>
      <c r="C54" s="534">
        <v>0</v>
      </c>
      <c r="D54" s="534">
        <v>0</v>
      </c>
      <c r="E54" s="534">
        <v>0</v>
      </c>
      <c r="F54" s="534">
        <v>0</v>
      </c>
      <c r="G54" s="534">
        <v>0</v>
      </c>
      <c r="H54" s="534">
        <v>0</v>
      </c>
      <c r="I54" s="534">
        <v>0</v>
      </c>
      <c r="J54" s="534">
        <v>4</v>
      </c>
      <c r="K54" s="534">
        <v>0</v>
      </c>
      <c r="L54" s="534">
        <v>0</v>
      </c>
      <c r="M54" s="534">
        <v>0</v>
      </c>
      <c r="N54">
        <v>0</v>
      </c>
      <c r="O54">
        <v>3</v>
      </c>
      <c r="P54">
        <v>0</v>
      </c>
      <c r="Q54">
        <v>0</v>
      </c>
      <c r="R54">
        <v>0</v>
      </c>
      <c r="S54">
        <v>0</v>
      </c>
      <c r="T54">
        <v>4</v>
      </c>
      <c r="U54">
        <v>0</v>
      </c>
      <c r="V54">
        <v>0</v>
      </c>
      <c r="W54">
        <v>3</v>
      </c>
      <c r="X54">
        <v>0</v>
      </c>
    </row>
    <row r="55" spans="1:24">
      <c r="A55" s="21">
        <v>305</v>
      </c>
      <c r="B55" s="21" t="s">
        <v>49</v>
      </c>
      <c r="C55" s="534">
        <v>0</v>
      </c>
      <c r="D55" s="534">
        <v>0</v>
      </c>
      <c r="E55" s="534">
        <v>0</v>
      </c>
      <c r="F55" s="534">
        <v>0</v>
      </c>
      <c r="G55" s="534">
        <v>0</v>
      </c>
      <c r="H55" s="534">
        <v>0</v>
      </c>
      <c r="I55" s="534">
        <v>0</v>
      </c>
      <c r="J55" s="534">
        <v>0</v>
      </c>
      <c r="K55" s="534">
        <v>0</v>
      </c>
      <c r="L55" s="534">
        <v>0</v>
      </c>
      <c r="M55" s="534">
        <v>0</v>
      </c>
      <c r="N55">
        <v>3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3</v>
      </c>
      <c r="X55">
        <v>0</v>
      </c>
    </row>
    <row r="56" spans="1:24">
      <c r="A56" s="21">
        <v>310</v>
      </c>
      <c r="B56" s="21" t="s">
        <v>50</v>
      </c>
      <c r="C56" s="534">
        <v>0</v>
      </c>
      <c r="D56" s="534">
        <v>0</v>
      </c>
      <c r="E56" s="534">
        <v>0</v>
      </c>
      <c r="F56" s="534">
        <v>0</v>
      </c>
      <c r="G56" s="534">
        <v>0</v>
      </c>
      <c r="H56" s="534">
        <v>0</v>
      </c>
      <c r="I56" s="534">
        <v>0</v>
      </c>
      <c r="J56" s="534">
        <v>0</v>
      </c>
      <c r="K56" s="534">
        <v>0</v>
      </c>
      <c r="L56" s="534">
        <v>0</v>
      </c>
      <c r="M56" s="534">
        <v>0</v>
      </c>
      <c r="N56">
        <v>3</v>
      </c>
      <c r="O56">
        <v>0</v>
      </c>
      <c r="P56">
        <v>0</v>
      </c>
      <c r="Q56">
        <v>3</v>
      </c>
      <c r="R56">
        <v>3</v>
      </c>
      <c r="S56">
        <v>0</v>
      </c>
      <c r="T56">
        <v>0</v>
      </c>
      <c r="U56">
        <v>0</v>
      </c>
      <c r="V56">
        <v>0</v>
      </c>
      <c r="W56">
        <v>3</v>
      </c>
      <c r="X56">
        <v>0</v>
      </c>
    </row>
    <row r="57" spans="1:24">
      <c r="A57" s="21">
        <v>315</v>
      </c>
      <c r="B57" s="21" t="s">
        <v>198</v>
      </c>
      <c r="C57" s="534">
        <v>0</v>
      </c>
      <c r="D57" s="534">
        <v>0</v>
      </c>
      <c r="E57" s="534">
        <v>0</v>
      </c>
      <c r="F57" s="534">
        <v>0</v>
      </c>
      <c r="G57" s="534">
        <v>4</v>
      </c>
      <c r="H57" s="534">
        <v>4</v>
      </c>
      <c r="I57" s="534">
        <v>4</v>
      </c>
      <c r="J57" s="534">
        <v>0</v>
      </c>
      <c r="K57" s="534">
        <v>0</v>
      </c>
      <c r="L57" s="534">
        <v>0</v>
      </c>
      <c r="M57" s="534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</row>
    <row r="58" spans="1:24">
      <c r="A58" s="21">
        <v>316</v>
      </c>
      <c r="B58" s="21" t="s">
        <v>51</v>
      </c>
      <c r="C58" s="534">
        <v>0</v>
      </c>
      <c r="D58" s="534">
        <v>0</v>
      </c>
      <c r="E58" s="534">
        <v>0</v>
      </c>
      <c r="F58" s="534">
        <v>0</v>
      </c>
      <c r="G58" s="534">
        <v>0</v>
      </c>
      <c r="H58" s="534">
        <v>0</v>
      </c>
      <c r="I58" s="534">
        <v>0</v>
      </c>
      <c r="J58" s="534">
        <v>0</v>
      </c>
      <c r="K58" s="534">
        <v>0</v>
      </c>
      <c r="L58" s="534">
        <v>0</v>
      </c>
      <c r="M58" s="534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3</v>
      </c>
      <c r="X58">
        <v>0</v>
      </c>
    </row>
    <row r="59" spans="1:24">
      <c r="A59" s="21">
        <v>317</v>
      </c>
      <c r="B59" s="21" t="s">
        <v>52</v>
      </c>
      <c r="C59" s="534">
        <v>0</v>
      </c>
      <c r="D59" s="534">
        <v>0</v>
      </c>
      <c r="E59" s="534">
        <v>0</v>
      </c>
      <c r="F59" s="534">
        <v>0</v>
      </c>
      <c r="G59" s="534">
        <v>0</v>
      </c>
      <c r="H59" s="534">
        <v>0</v>
      </c>
      <c r="I59" s="534">
        <v>0</v>
      </c>
      <c r="J59" s="534">
        <v>0</v>
      </c>
      <c r="K59" s="534">
        <v>0</v>
      </c>
      <c r="L59" s="534">
        <v>0</v>
      </c>
      <c r="M59" s="534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3</v>
      </c>
      <c r="X59">
        <v>0</v>
      </c>
    </row>
    <row r="60" spans="1:24">
      <c r="A60" s="21">
        <v>325</v>
      </c>
      <c r="B60" s="21" t="s">
        <v>53</v>
      </c>
      <c r="C60" s="534">
        <v>3</v>
      </c>
      <c r="D60" s="534">
        <v>0</v>
      </c>
      <c r="E60" s="534">
        <v>3</v>
      </c>
      <c r="F60" s="534">
        <v>0</v>
      </c>
      <c r="G60" s="534">
        <v>0</v>
      </c>
      <c r="H60" s="534">
        <v>1</v>
      </c>
      <c r="I60" s="534">
        <v>0</v>
      </c>
      <c r="J60" s="534">
        <v>3</v>
      </c>
      <c r="K60" s="534">
        <v>0</v>
      </c>
      <c r="L60" s="534">
        <v>0</v>
      </c>
      <c r="M60" s="534">
        <v>5</v>
      </c>
      <c r="N60">
        <v>0</v>
      </c>
      <c r="O60">
        <v>4</v>
      </c>
      <c r="P60">
        <v>3</v>
      </c>
      <c r="Q60">
        <v>0</v>
      </c>
      <c r="R60">
        <v>0</v>
      </c>
      <c r="S60">
        <v>0</v>
      </c>
      <c r="T60">
        <v>0</v>
      </c>
      <c r="U60">
        <v>0</v>
      </c>
      <c r="V60">
        <v>3</v>
      </c>
      <c r="W60">
        <v>3</v>
      </c>
      <c r="X60">
        <v>0</v>
      </c>
    </row>
    <row r="61" spans="1:24">
      <c r="A61" s="21">
        <v>331</v>
      </c>
      <c r="B61" s="21" t="s">
        <v>54</v>
      </c>
      <c r="C61" s="534">
        <v>0</v>
      </c>
      <c r="D61" s="534">
        <v>0</v>
      </c>
      <c r="E61" s="534">
        <v>0</v>
      </c>
      <c r="F61" s="534">
        <v>0</v>
      </c>
      <c r="G61" s="534">
        <v>0</v>
      </c>
      <c r="H61" s="534">
        <v>0</v>
      </c>
      <c r="I61" s="534">
        <v>0</v>
      </c>
      <c r="J61" s="534">
        <v>0</v>
      </c>
      <c r="K61" s="534">
        <v>0</v>
      </c>
      <c r="L61" s="534">
        <v>0</v>
      </c>
      <c r="M61" s="534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1:24">
      <c r="A62" s="21">
        <v>338</v>
      </c>
      <c r="B62" s="21" t="s">
        <v>55</v>
      </c>
      <c r="C62" s="534">
        <v>0</v>
      </c>
      <c r="D62" s="534">
        <v>0</v>
      </c>
      <c r="E62" s="534">
        <v>0</v>
      </c>
      <c r="F62" s="534">
        <v>0</v>
      </c>
      <c r="G62" s="534">
        <v>0</v>
      </c>
      <c r="H62" s="534">
        <v>1</v>
      </c>
      <c r="I62" s="534">
        <v>0</v>
      </c>
      <c r="J62" s="534">
        <v>1</v>
      </c>
      <c r="K62" s="534">
        <v>0</v>
      </c>
      <c r="L62" s="534">
        <v>1</v>
      </c>
      <c r="M62" s="534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</row>
    <row r="63" spans="1:24">
      <c r="A63" s="21">
        <v>339</v>
      </c>
      <c r="B63" s="21" t="s">
        <v>56</v>
      </c>
      <c r="C63" s="534">
        <v>0</v>
      </c>
      <c r="D63" s="534">
        <v>0</v>
      </c>
      <c r="E63" s="534">
        <v>0</v>
      </c>
      <c r="F63" s="534">
        <v>0</v>
      </c>
      <c r="G63" s="534">
        <v>0</v>
      </c>
      <c r="H63" s="534">
        <v>0</v>
      </c>
      <c r="I63" s="534">
        <v>0</v>
      </c>
      <c r="J63" s="534">
        <v>0</v>
      </c>
      <c r="K63" s="534">
        <v>0</v>
      </c>
      <c r="L63" s="534">
        <v>0</v>
      </c>
      <c r="M63" s="534">
        <v>0</v>
      </c>
      <c r="N63">
        <v>0</v>
      </c>
      <c r="O63">
        <v>3</v>
      </c>
      <c r="P63">
        <v>4</v>
      </c>
      <c r="Q63">
        <v>4</v>
      </c>
      <c r="R63">
        <v>3</v>
      </c>
      <c r="S63">
        <v>0</v>
      </c>
      <c r="T63">
        <v>4</v>
      </c>
      <c r="U63">
        <v>4</v>
      </c>
      <c r="V63">
        <v>0</v>
      </c>
      <c r="W63">
        <v>3</v>
      </c>
      <c r="X63">
        <v>0</v>
      </c>
    </row>
    <row r="64" spans="1:24">
      <c r="A64" s="21">
        <v>341</v>
      </c>
      <c r="B64" s="21" t="s">
        <v>193</v>
      </c>
      <c r="C64" s="534">
        <v>0</v>
      </c>
      <c r="D64" s="534">
        <v>0</v>
      </c>
      <c r="E64" s="534">
        <v>0</v>
      </c>
      <c r="F64" s="534">
        <v>0</v>
      </c>
      <c r="G64" s="534">
        <v>0</v>
      </c>
      <c r="H64" s="534">
        <v>0</v>
      </c>
      <c r="I64" s="534">
        <v>0</v>
      </c>
      <c r="J64" s="534">
        <v>0</v>
      </c>
      <c r="K64" s="534">
        <v>0</v>
      </c>
      <c r="L64" s="534">
        <v>0</v>
      </c>
      <c r="M64" s="53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</row>
    <row r="65" spans="1:24">
      <c r="A65" s="21">
        <v>343</v>
      </c>
      <c r="B65" s="21" t="s">
        <v>57</v>
      </c>
      <c r="C65" s="534">
        <v>0</v>
      </c>
      <c r="D65" s="534">
        <v>0</v>
      </c>
      <c r="E65" s="534">
        <v>0</v>
      </c>
      <c r="F65" s="534">
        <v>0</v>
      </c>
      <c r="G65" s="534">
        <v>0</v>
      </c>
      <c r="H65" s="534">
        <v>0</v>
      </c>
      <c r="I65" s="534">
        <v>0</v>
      </c>
      <c r="J65" s="534">
        <v>0</v>
      </c>
      <c r="K65" s="534">
        <v>0</v>
      </c>
      <c r="L65" s="534">
        <v>0</v>
      </c>
      <c r="M65" s="534">
        <v>0</v>
      </c>
      <c r="N65">
        <v>0</v>
      </c>
      <c r="O65">
        <v>0</v>
      </c>
      <c r="P65">
        <v>4</v>
      </c>
      <c r="Q65">
        <v>0</v>
      </c>
      <c r="R65">
        <v>0</v>
      </c>
      <c r="S65">
        <v>0</v>
      </c>
      <c r="T65">
        <v>4</v>
      </c>
      <c r="U65">
        <v>0</v>
      </c>
      <c r="V65">
        <v>0</v>
      </c>
      <c r="W65">
        <v>0</v>
      </c>
      <c r="X65">
        <v>0</v>
      </c>
    </row>
    <row r="66" spans="1:24">
      <c r="A66" s="21">
        <v>344</v>
      </c>
      <c r="B66" s="21" t="s">
        <v>58</v>
      </c>
      <c r="C66" s="534">
        <v>0</v>
      </c>
      <c r="D66" s="534">
        <v>0</v>
      </c>
      <c r="E66" s="534">
        <v>0</v>
      </c>
      <c r="F66" s="534">
        <v>0</v>
      </c>
      <c r="G66" s="534">
        <v>0</v>
      </c>
      <c r="H66" s="534">
        <v>0</v>
      </c>
      <c r="I66" s="534">
        <v>0</v>
      </c>
      <c r="J66" s="534">
        <v>0</v>
      </c>
      <c r="K66" s="534">
        <v>0</v>
      </c>
      <c r="L66" s="534">
        <v>0</v>
      </c>
      <c r="M66" s="534">
        <v>0</v>
      </c>
      <c r="N66">
        <v>0</v>
      </c>
      <c r="O66">
        <v>4</v>
      </c>
      <c r="P66">
        <v>4</v>
      </c>
      <c r="Q66">
        <v>0</v>
      </c>
      <c r="R66">
        <v>3</v>
      </c>
      <c r="S66">
        <v>4</v>
      </c>
      <c r="T66">
        <v>3</v>
      </c>
      <c r="U66">
        <v>0</v>
      </c>
      <c r="V66">
        <v>0</v>
      </c>
      <c r="W66">
        <v>4</v>
      </c>
      <c r="X66">
        <v>0</v>
      </c>
    </row>
    <row r="67" spans="1:24">
      <c r="A67" s="21">
        <v>345</v>
      </c>
      <c r="B67" s="21" t="s">
        <v>59</v>
      </c>
      <c r="C67" s="534">
        <v>2</v>
      </c>
      <c r="D67" s="534">
        <v>0</v>
      </c>
      <c r="E67" s="534">
        <v>0</v>
      </c>
      <c r="F67" s="534">
        <v>0</v>
      </c>
      <c r="G67" s="534">
        <v>0</v>
      </c>
      <c r="H67" s="534">
        <v>0</v>
      </c>
      <c r="I67" s="534">
        <v>0</v>
      </c>
      <c r="J67" s="534">
        <v>1</v>
      </c>
      <c r="K67" s="534">
        <v>0</v>
      </c>
      <c r="L67" s="534">
        <v>0</v>
      </c>
      <c r="M67" s="534">
        <v>0</v>
      </c>
      <c r="N67">
        <v>3</v>
      </c>
      <c r="O67">
        <v>4</v>
      </c>
      <c r="P67">
        <v>4</v>
      </c>
      <c r="Q67">
        <v>3</v>
      </c>
      <c r="R67">
        <v>3</v>
      </c>
      <c r="S67">
        <v>0</v>
      </c>
      <c r="T67">
        <v>3</v>
      </c>
      <c r="U67">
        <v>4</v>
      </c>
      <c r="V67">
        <v>0</v>
      </c>
      <c r="W67">
        <v>4</v>
      </c>
      <c r="X67">
        <v>0</v>
      </c>
    </row>
    <row r="68" spans="1:24">
      <c r="A68" s="21">
        <v>346</v>
      </c>
      <c r="B68" s="21" t="s">
        <v>60</v>
      </c>
      <c r="C68" s="534">
        <v>0</v>
      </c>
      <c r="D68" s="534">
        <v>0</v>
      </c>
      <c r="E68" s="534">
        <v>0</v>
      </c>
      <c r="F68" s="534">
        <v>0</v>
      </c>
      <c r="G68" s="534">
        <v>0</v>
      </c>
      <c r="H68" s="534">
        <v>0</v>
      </c>
      <c r="I68" s="534">
        <v>0</v>
      </c>
      <c r="J68" s="534">
        <v>0</v>
      </c>
      <c r="K68" s="534">
        <v>0</v>
      </c>
      <c r="L68" s="534">
        <v>0</v>
      </c>
      <c r="M68" s="534">
        <v>0</v>
      </c>
      <c r="N68">
        <v>0</v>
      </c>
      <c r="O68">
        <v>4</v>
      </c>
      <c r="P68">
        <v>4</v>
      </c>
      <c r="Q68">
        <v>3</v>
      </c>
      <c r="R68">
        <v>0</v>
      </c>
      <c r="S68">
        <v>4</v>
      </c>
      <c r="T68">
        <v>0</v>
      </c>
      <c r="U68">
        <v>0</v>
      </c>
      <c r="V68">
        <v>0</v>
      </c>
      <c r="W68">
        <v>0</v>
      </c>
      <c r="X68">
        <v>0</v>
      </c>
    </row>
    <row r="69" spans="1:24" s="21" customFormat="1">
      <c r="A69" s="21">
        <v>347</v>
      </c>
      <c r="B69" s="21" t="s">
        <v>196</v>
      </c>
      <c r="C69" s="534">
        <v>0</v>
      </c>
      <c r="D69" s="534">
        <v>0</v>
      </c>
      <c r="E69" s="534">
        <v>0</v>
      </c>
      <c r="F69" s="534">
        <v>0</v>
      </c>
      <c r="G69" s="534">
        <v>0</v>
      </c>
      <c r="H69" s="534">
        <v>0</v>
      </c>
      <c r="I69" s="534">
        <v>0</v>
      </c>
      <c r="J69" s="534">
        <v>0</v>
      </c>
      <c r="K69" s="534">
        <v>0</v>
      </c>
      <c r="L69" s="534">
        <v>0</v>
      </c>
      <c r="M69" s="534">
        <v>0</v>
      </c>
    </row>
    <row r="70" spans="1:24">
      <c r="A70" s="21">
        <v>349</v>
      </c>
      <c r="B70" s="21" t="s">
        <v>61</v>
      </c>
      <c r="C70" s="534">
        <v>0</v>
      </c>
      <c r="D70" s="534">
        <v>0</v>
      </c>
      <c r="E70" s="534">
        <v>0</v>
      </c>
      <c r="F70" s="534">
        <v>0</v>
      </c>
      <c r="G70" s="534">
        <v>0</v>
      </c>
      <c r="H70" s="534">
        <v>0</v>
      </c>
      <c r="I70" s="534">
        <v>0</v>
      </c>
      <c r="J70" s="534">
        <v>0</v>
      </c>
      <c r="K70" s="534">
        <v>0</v>
      </c>
      <c r="L70" s="534">
        <v>0</v>
      </c>
      <c r="M70" s="534">
        <v>0</v>
      </c>
      <c r="N70">
        <v>0</v>
      </c>
      <c r="O70">
        <v>0</v>
      </c>
      <c r="P70">
        <v>3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3</v>
      </c>
      <c r="X70">
        <v>0</v>
      </c>
    </row>
    <row r="71" spans="1:24">
      <c r="A71" s="21">
        <v>350</v>
      </c>
      <c r="B71" s="21" t="s">
        <v>62</v>
      </c>
      <c r="C71" s="534">
        <v>0</v>
      </c>
      <c r="D71" s="534">
        <v>3</v>
      </c>
      <c r="E71" s="534">
        <v>3</v>
      </c>
      <c r="F71" s="534">
        <v>3</v>
      </c>
      <c r="G71" s="534">
        <v>3</v>
      </c>
      <c r="H71" s="534">
        <v>1</v>
      </c>
      <c r="I71" s="534">
        <v>4</v>
      </c>
      <c r="J71" s="534">
        <v>4</v>
      </c>
      <c r="K71" s="534">
        <v>0</v>
      </c>
      <c r="L71" s="534">
        <v>3</v>
      </c>
      <c r="M71" s="534">
        <v>3</v>
      </c>
      <c r="N71">
        <v>0</v>
      </c>
      <c r="O71">
        <v>4</v>
      </c>
      <c r="P71">
        <v>0</v>
      </c>
      <c r="Q71">
        <v>4</v>
      </c>
      <c r="R71">
        <v>4</v>
      </c>
      <c r="S71">
        <v>0</v>
      </c>
      <c r="T71">
        <v>4</v>
      </c>
      <c r="U71">
        <v>0</v>
      </c>
      <c r="V71">
        <v>3</v>
      </c>
      <c r="W71">
        <v>3</v>
      </c>
      <c r="X71">
        <v>3</v>
      </c>
    </row>
    <row r="72" spans="1:24">
      <c r="A72" s="21">
        <v>352</v>
      </c>
      <c r="B72" s="21" t="s">
        <v>63</v>
      </c>
      <c r="C72" s="534">
        <v>0</v>
      </c>
      <c r="D72" s="534">
        <v>0</v>
      </c>
      <c r="E72" s="534">
        <v>0</v>
      </c>
      <c r="F72" s="534">
        <v>4</v>
      </c>
      <c r="G72" s="534">
        <v>1</v>
      </c>
      <c r="H72" s="534">
        <v>1</v>
      </c>
      <c r="I72" s="534">
        <v>1</v>
      </c>
      <c r="J72" s="534">
        <v>1</v>
      </c>
      <c r="K72" s="534">
        <v>4</v>
      </c>
      <c r="L72" s="534">
        <v>0</v>
      </c>
      <c r="M72" s="534">
        <v>0</v>
      </c>
      <c r="N72">
        <v>0</v>
      </c>
      <c r="O72">
        <v>0</v>
      </c>
      <c r="P72">
        <v>4</v>
      </c>
      <c r="Q72">
        <v>3</v>
      </c>
      <c r="R72">
        <v>0</v>
      </c>
      <c r="S72">
        <v>4</v>
      </c>
      <c r="T72">
        <v>0</v>
      </c>
      <c r="U72">
        <v>0</v>
      </c>
      <c r="V72">
        <v>0</v>
      </c>
      <c r="W72">
        <v>0</v>
      </c>
      <c r="X72">
        <v>0</v>
      </c>
    </row>
    <row r="73" spans="1:24">
      <c r="A73" s="21">
        <v>355</v>
      </c>
      <c r="B73" s="21" t="s">
        <v>64</v>
      </c>
      <c r="C73" s="534">
        <v>0</v>
      </c>
      <c r="D73" s="534">
        <v>0</v>
      </c>
      <c r="E73" s="534">
        <v>0</v>
      </c>
      <c r="F73" s="534">
        <v>0</v>
      </c>
      <c r="G73" s="534">
        <v>0</v>
      </c>
      <c r="H73" s="534">
        <v>0</v>
      </c>
      <c r="I73" s="534">
        <v>1</v>
      </c>
      <c r="J73" s="534">
        <v>4</v>
      </c>
      <c r="K73" s="534">
        <v>0</v>
      </c>
      <c r="L73" s="534">
        <v>0</v>
      </c>
      <c r="M73" s="534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3</v>
      </c>
      <c r="X73">
        <v>0</v>
      </c>
    </row>
    <row r="74" spans="1:24">
      <c r="A74" s="21">
        <v>359</v>
      </c>
      <c r="B74" s="21" t="s">
        <v>65</v>
      </c>
      <c r="C74" s="534">
        <v>0</v>
      </c>
      <c r="D74" s="534">
        <v>0</v>
      </c>
      <c r="E74" s="534">
        <v>0</v>
      </c>
      <c r="F74" s="534">
        <v>0</v>
      </c>
      <c r="G74" s="534">
        <v>0</v>
      </c>
      <c r="H74" s="534">
        <v>0</v>
      </c>
      <c r="I74" s="534">
        <v>0</v>
      </c>
      <c r="J74" s="534">
        <v>0</v>
      </c>
      <c r="K74" s="534">
        <v>0</v>
      </c>
      <c r="L74" s="534">
        <v>0</v>
      </c>
      <c r="M74" s="534">
        <v>0</v>
      </c>
      <c r="N74">
        <v>0</v>
      </c>
      <c r="O74">
        <v>4</v>
      </c>
      <c r="P74">
        <v>3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</row>
    <row r="75" spans="1:24">
      <c r="A75" s="21">
        <v>360</v>
      </c>
      <c r="B75" s="21" t="s">
        <v>66</v>
      </c>
      <c r="C75" s="534">
        <v>0</v>
      </c>
      <c r="D75" s="534">
        <v>0</v>
      </c>
      <c r="E75" s="534">
        <v>0</v>
      </c>
      <c r="F75" s="534">
        <v>0</v>
      </c>
      <c r="G75" s="534">
        <v>0</v>
      </c>
      <c r="H75" s="534">
        <v>0</v>
      </c>
      <c r="I75" s="534">
        <v>0</v>
      </c>
      <c r="J75" s="534">
        <v>1</v>
      </c>
      <c r="K75" s="534">
        <v>1</v>
      </c>
      <c r="L75" s="534">
        <v>0</v>
      </c>
      <c r="M75" s="534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3</v>
      </c>
      <c r="U75">
        <v>0</v>
      </c>
      <c r="V75">
        <v>0</v>
      </c>
      <c r="W75">
        <v>0</v>
      </c>
      <c r="X75">
        <v>0</v>
      </c>
    </row>
    <row r="76" spans="1:24">
      <c r="A76" s="21">
        <v>365</v>
      </c>
      <c r="B76" s="21" t="s">
        <v>67</v>
      </c>
      <c r="C76" s="534">
        <v>4</v>
      </c>
      <c r="D76" s="534">
        <v>3</v>
      </c>
      <c r="E76" s="534">
        <v>4</v>
      </c>
      <c r="F76" s="534">
        <v>4</v>
      </c>
      <c r="G76" s="534">
        <v>4</v>
      </c>
      <c r="H76" s="534">
        <v>4</v>
      </c>
      <c r="I76" s="534">
        <v>4</v>
      </c>
      <c r="J76" s="534">
        <v>3</v>
      </c>
      <c r="K76" s="534">
        <v>3</v>
      </c>
      <c r="L76" s="534">
        <v>0</v>
      </c>
      <c r="M76" s="534">
        <v>0</v>
      </c>
      <c r="N76">
        <v>0</v>
      </c>
      <c r="O76">
        <v>4</v>
      </c>
      <c r="P76">
        <v>4</v>
      </c>
      <c r="Q76">
        <v>4</v>
      </c>
      <c r="R76">
        <v>3</v>
      </c>
      <c r="S76">
        <v>3</v>
      </c>
      <c r="T76">
        <v>4</v>
      </c>
      <c r="U76">
        <v>4</v>
      </c>
      <c r="V76">
        <v>4</v>
      </c>
      <c r="W76">
        <v>4</v>
      </c>
      <c r="X76">
        <v>5</v>
      </c>
    </row>
    <row r="77" spans="1:24">
      <c r="A77" s="21">
        <v>366</v>
      </c>
      <c r="B77" s="21" t="s">
        <v>68</v>
      </c>
      <c r="C77" s="534">
        <v>0</v>
      </c>
      <c r="D77" s="534">
        <v>0</v>
      </c>
      <c r="E77" s="534">
        <v>0</v>
      </c>
      <c r="F77" s="534">
        <v>0</v>
      </c>
      <c r="G77" s="534">
        <v>0</v>
      </c>
      <c r="H77" s="534">
        <v>0</v>
      </c>
      <c r="I77" s="534">
        <v>0</v>
      </c>
      <c r="J77" s="534">
        <v>0</v>
      </c>
      <c r="K77" s="534">
        <v>0</v>
      </c>
      <c r="L77" s="534">
        <v>0</v>
      </c>
      <c r="M77" s="534">
        <v>0</v>
      </c>
      <c r="N77">
        <v>0</v>
      </c>
      <c r="O77">
        <v>4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3</v>
      </c>
      <c r="X77">
        <v>0</v>
      </c>
    </row>
    <row r="78" spans="1:24">
      <c r="A78" s="21">
        <v>367</v>
      </c>
      <c r="B78" s="21" t="s">
        <v>69</v>
      </c>
      <c r="C78" s="534">
        <v>0</v>
      </c>
      <c r="D78" s="534">
        <v>0</v>
      </c>
      <c r="E78" s="534">
        <v>0</v>
      </c>
      <c r="F78" s="534">
        <v>0</v>
      </c>
      <c r="G78" s="534">
        <v>0</v>
      </c>
      <c r="H78" s="534">
        <v>0</v>
      </c>
      <c r="I78" s="534">
        <v>0</v>
      </c>
      <c r="J78" s="534">
        <v>0</v>
      </c>
      <c r="K78" s="534">
        <v>0</v>
      </c>
      <c r="L78" s="534">
        <v>0</v>
      </c>
      <c r="M78" s="534">
        <v>0</v>
      </c>
      <c r="N78">
        <v>0</v>
      </c>
      <c r="O78">
        <v>0</v>
      </c>
      <c r="P78">
        <v>0</v>
      </c>
      <c r="Q78">
        <v>3</v>
      </c>
      <c r="R78">
        <v>0</v>
      </c>
      <c r="S78">
        <v>0</v>
      </c>
      <c r="T78">
        <v>0</v>
      </c>
      <c r="U78">
        <v>3</v>
      </c>
      <c r="V78">
        <v>0</v>
      </c>
      <c r="W78">
        <v>0</v>
      </c>
      <c r="X78">
        <v>0</v>
      </c>
    </row>
    <row r="79" spans="1:24">
      <c r="A79" s="21">
        <v>368</v>
      </c>
      <c r="B79" s="21" t="s">
        <v>70</v>
      </c>
      <c r="C79" s="534">
        <v>0</v>
      </c>
      <c r="D79" s="534">
        <v>0</v>
      </c>
      <c r="E79" s="534">
        <v>0</v>
      </c>
      <c r="F79" s="534">
        <v>0</v>
      </c>
      <c r="G79" s="534">
        <v>0</v>
      </c>
      <c r="H79" s="534">
        <v>0</v>
      </c>
      <c r="I79" s="534">
        <v>0</v>
      </c>
      <c r="J79" s="534">
        <v>0</v>
      </c>
      <c r="K79" s="534">
        <v>0</v>
      </c>
      <c r="L79" s="534">
        <v>0</v>
      </c>
      <c r="M79" s="534">
        <v>0</v>
      </c>
      <c r="N79">
        <v>0</v>
      </c>
      <c r="O79">
        <v>0</v>
      </c>
      <c r="P79">
        <v>0</v>
      </c>
      <c r="Q79">
        <v>0</v>
      </c>
      <c r="R79">
        <v>3</v>
      </c>
      <c r="S79">
        <v>0</v>
      </c>
      <c r="T79">
        <v>0</v>
      </c>
      <c r="U79">
        <v>0</v>
      </c>
      <c r="V79">
        <v>0</v>
      </c>
      <c r="W79">
        <v>3</v>
      </c>
      <c r="X79">
        <v>0</v>
      </c>
    </row>
    <row r="80" spans="1:24">
      <c r="A80" s="21">
        <v>369</v>
      </c>
      <c r="B80" s="21" t="s">
        <v>71</v>
      </c>
      <c r="C80" s="534">
        <v>0</v>
      </c>
      <c r="D80" s="534">
        <v>0</v>
      </c>
      <c r="E80" s="534">
        <v>0</v>
      </c>
      <c r="F80" s="534">
        <v>0</v>
      </c>
      <c r="G80" s="534">
        <v>0</v>
      </c>
      <c r="H80" s="534">
        <v>0</v>
      </c>
      <c r="I80" s="534">
        <v>0</v>
      </c>
      <c r="J80" s="534">
        <v>0</v>
      </c>
      <c r="K80" s="534">
        <v>0</v>
      </c>
      <c r="L80" s="534">
        <v>0</v>
      </c>
      <c r="M80" s="534">
        <v>0</v>
      </c>
      <c r="N80">
        <v>0</v>
      </c>
      <c r="O80">
        <v>4</v>
      </c>
      <c r="P80">
        <v>0</v>
      </c>
      <c r="Q80">
        <v>4</v>
      </c>
      <c r="R80">
        <v>0</v>
      </c>
      <c r="S80">
        <v>3</v>
      </c>
      <c r="T80">
        <v>3</v>
      </c>
      <c r="U80">
        <v>0</v>
      </c>
      <c r="V80">
        <v>0</v>
      </c>
      <c r="W80">
        <v>3</v>
      </c>
      <c r="X80">
        <v>3</v>
      </c>
    </row>
    <row r="81" spans="1:24">
      <c r="A81" s="21">
        <v>370</v>
      </c>
      <c r="B81" s="21" t="s">
        <v>72</v>
      </c>
      <c r="C81" s="534">
        <v>0</v>
      </c>
      <c r="D81" s="534">
        <v>0</v>
      </c>
      <c r="E81" s="534">
        <v>0</v>
      </c>
      <c r="F81" s="534">
        <v>0</v>
      </c>
      <c r="G81" s="534">
        <v>0</v>
      </c>
      <c r="H81" s="534">
        <v>0</v>
      </c>
      <c r="I81" s="534">
        <v>0</v>
      </c>
      <c r="J81" s="534">
        <v>0</v>
      </c>
      <c r="K81" s="534">
        <v>0</v>
      </c>
      <c r="L81" s="534">
        <v>0</v>
      </c>
      <c r="M81" s="534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</row>
    <row r="82" spans="1:24">
      <c r="A82" s="21">
        <v>371</v>
      </c>
      <c r="B82" s="21" t="s">
        <v>73</v>
      </c>
      <c r="C82" s="534">
        <v>0</v>
      </c>
      <c r="D82" s="534">
        <v>0</v>
      </c>
      <c r="E82" s="534">
        <v>0</v>
      </c>
      <c r="F82" s="534">
        <v>0</v>
      </c>
      <c r="G82" s="534">
        <v>0</v>
      </c>
      <c r="H82" s="534">
        <v>0</v>
      </c>
      <c r="I82" s="534">
        <v>0</v>
      </c>
      <c r="J82" s="534">
        <v>0</v>
      </c>
      <c r="K82" s="534">
        <v>0</v>
      </c>
      <c r="L82" s="534">
        <v>0</v>
      </c>
      <c r="M82" s="534">
        <v>0</v>
      </c>
      <c r="N82">
        <v>0</v>
      </c>
      <c r="O82">
        <v>5</v>
      </c>
      <c r="P82">
        <v>0</v>
      </c>
      <c r="Q82">
        <v>4</v>
      </c>
      <c r="R82">
        <v>4</v>
      </c>
      <c r="S82">
        <v>4</v>
      </c>
      <c r="T82">
        <v>0</v>
      </c>
      <c r="U82">
        <v>4</v>
      </c>
      <c r="V82">
        <v>0</v>
      </c>
      <c r="W82">
        <v>4</v>
      </c>
      <c r="X82">
        <v>4</v>
      </c>
    </row>
    <row r="83" spans="1:24">
      <c r="A83" s="21">
        <v>372</v>
      </c>
      <c r="B83" s="21" t="s">
        <v>74</v>
      </c>
      <c r="C83" s="534">
        <v>0</v>
      </c>
      <c r="D83" s="534">
        <v>0</v>
      </c>
      <c r="E83" s="534">
        <v>0</v>
      </c>
      <c r="F83" s="534">
        <v>0</v>
      </c>
      <c r="G83" s="534">
        <v>0</v>
      </c>
      <c r="H83" s="534">
        <v>0</v>
      </c>
      <c r="I83" s="534">
        <v>0</v>
      </c>
      <c r="J83" s="534">
        <v>0</v>
      </c>
      <c r="K83" s="534">
        <v>0</v>
      </c>
      <c r="L83" s="534">
        <v>0</v>
      </c>
      <c r="M83" s="534">
        <v>0</v>
      </c>
      <c r="N83">
        <v>0</v>
      </c>
      <c r="O83">
        <v>4</v>
      </c>
      <c r="P83">
        <v>0</v>
      </c>
      <c r="Q83">
        <v>0</v>
      </c>
      <c r="R83">
        <v>0</v>
      </c>
      <c r="S83">
        <v>3</v>
      </c>
      <c r="T83">
        <v>4</v>
      </c>
      <c r="U83">
        <v>0</v>
      </c>
      <c r="V83">
        <v>3</v>
      </c>
      <c r="W83">
        <v>3</v>
      </c>
      <c r="X83">
        <v>3</v>
      </c>
    </row>
    <row r="84" spans="1:24">
      <c r="A84" s="21">
        <v>373</v>
      </c>
      <c r="B84" s="21" t="s">
        <v>75</v>
      </c>
      <c r="C84" s="534">
        <v>0</v>
      </c>
      <c r="D84" s="534">
        <v>0</v>
      </c>
      <c r="E84" s="534">
        <v>0</v>
      </c>
      <c r="F84" s="534">
        <v>0</v>
      </c>
      <c r="G84" s="534">
        <v>0</v>
      </c>
      <c r="H84" s="534">
        <v>0</v>
      </c>
      <c r="I84" s="534">
        <v>0</v>
      </c>
      <c r="J84" s="534">
        <v>0</v>
      </c>
      <c r="K84" s="534">
        <v>0</v>
      </c>
      <c r="L84" s="534">
        <v>0</v>
      </c>
      <c r="M84" s="534">
        <v>0</v>
      </c>
      <c r="N84">
        <v>0</v>
      </c>
      <c r="O84">
        <v>5</v>
      </c>
      <c r="P84">
        <v>0</v>
      </c>
      <c r="Q84">
        <v>0</v>
      </c>
      <c r="R84">
        <v>4</v>
      </c>
      <c r="S84">
        <v>4</v>
      </c>
      <c r="T84">
        <v>0</v>
      </c>
      <c r="U84">
        <v>4</v>
      </c>
      <c r="V84">
        <v>4</v>
      </c>
      <c r="W84">
        <v>4</v>
      </c>
      <c r="X84">
        <v>4</v>
      </c>
    </row>
    <row r="85" spans="1:24">
      <c r="A85" s="21">
        <v>375</v>
      </c>
      <c r="B85" s="21" t="s">
        <v>76</v>
      </c>
      <c r="C85" s="534">
        <v>0</v>
      </c>
      <c r="D85" s="534">
        <v>0</v>
      </c>
      <c r="E85" s="534">
        <v>0</v>
      </c>
      <c r="F85" s="534">
        <v>0</v>
      </c>
      <c r="G85" s="534">
        <v>0</v>
      </c>
      <c r="H85" s="534">
        <v>0</v>
      </c>
      <c r="I85" s="534">
        <v>0</v>
      </c>
      <c r="J85" s="534">
        <v>0</v>
      </c>
      <c r="K85" s="534">
        <v>0</v>
      </c>
      <c r="L85" s="534">
        <v>0</v>
      </c>
      <c r="M85" s="534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3</v>
      </c>
      <c r="X85">
        <v>0</v>
      </c>
    </row>
    <row r="86" spans="1:24">
      <c r="A86" s="21">
        <v>380</v>
      </c>
      <c r="B86" s="21" t="s">
        <v>77</v>
      </c>
      <c r="C86" s="534">
        <v>0</v>
      </c>
      <c r="D86" s="534">
        <v>3</v>
      </c>
      <c r="E86" s="534">
        <v>4</v>
      </c>
      <c r="F86" s="534">
        <v>4</v>
      </c>
      <c r="G86" s="534">
        <v>0</v>
      </c>
      <c r="H86" s="534">
        <v>0</v>
      </c>
      <c r="I86" s="534">
        <v>0</v>
      </c>
      <c r="J86" s="534">
        <v>4</v>
      </c>
      <c r="K86" s="534">
        <v>4</v>
      </c>
      <c r="L86" s="534">
        <v>0</v>
      </c>
      <c r="M86" s="534">
        <v>0</v>
      </c>
      <c r="N86">
        <v>0</v>
      </c>
      <c r="O86">
        <v>4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3</v>
      </c>
      <c r="X86">
        <v>0</v>
      </c>
    </row>
    <row r="87" spans="1:24">
      <c r="A87" s="21">
        <v>385</v>
      </c>
      <c r="B87" s="21" t="s">
        <v>78</v>
      </c>
      <c r="C87" s="534">
        <v>3</v>
      </c>
      <c r="D87" s="534">
        <v>4</v>
      </c>
      <c r="E87" s="534">
        <v>0</v>
      </c>
      <c r="F87" s="534">
        <v>4</v>
      </c>
      <c r="G87" s="534">
        <v>1</v>
      </c>
      <c r="H87" s="534">
        <v>0</v>
      </c>
      <c r="I87" s="534">
        <v>0</v>
      </c>
      <c r="J87" s="534">
        <v>1</v>
      </c>
      <c r="K87" s="534">
        <v>1</v>
      </c>
      <c r="L87" s="534">
        <v>0</v>
      </c>
      <c r="M87" s="534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4</v>
      </c>
      <c r="V87">
        <v>3</v>
      </c>
      <c r="W87">
        <v>3</v>
      </c>
      <c r="X87">
        <v>4</v>
      </c>
    </row>
    <row r="88" spans="1:24">
      <c r="A88" s="21">
        <v>390</v>
      </c>
      <c r="B88" s="21" t="s">
        <v>79</v>
      </c>
      <c r="C88" s="534">
        <v>0</v>
      </c>
      <c r="D88" s="534">
        <v>1</v>
      </c>
      <c r="E88" s="534">
        <v>0</v>
      </c>
      <c r="F88" s="534">
        <v>0</v>
      </c>
      <c r="G88" s="534">
        <v>0</v>
      </c>
      <c r="H88" s="534">
        <v>1</v>
      </c>
      <c r="I88" s="534">
        <v>1</v>
      </c>
      <c r="J88" s="534">
        <v>1</v>
      </c>
      <c r="K88" s="534">
        <v>1</v>
      </c>
      <c r="L88" s="534">
        <v>0</v>
      </c>
      <c r="M88" s="534">
        <v>0</v>
      </c>
      <c r="N88">
        <v>0</v>
      </c>
      <c r="O88">
        <v>3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3</v>
      </c>
      <c r="W88">
        <v>3</v>
      </c>
      <c r="X88">
        <v>0</v>
      </c>
    </row>
    <row r="89" spans="1:24">
      <c r="A89" s="21">
        <v>395</v>
      </c>
      <c r="B89" s="21" t="s">
        <v>80</v>
      </c>
      <c r="C89" s="534">
        <v>0</v>
      </c>
      <c r="D89" s="534">
        <v>0</v>
      </c>
      <c r="E89" s="534">
        <v>0</v>
      </c>
      <c r="F89" s="534">
        <v>0</v>
      </c>
      <c r="G89" s="534">
        <v>0</v>
      </c>
      <c r="H89" s="534">
        <v>0</v>
      </c>
      <c r="I89" s="534">
        <v>0</v>
      </c>
      <c r="J89" s="534">
        <v>0</v>
      </c>
      <c r="K89" s="534">
        <v>0</v>
      </c>
      <c r="L89" s="534">
        <v>0</v>
      </c>
      <c r="M89" s="534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3</v>
      </c>
      <c r="X89">
        <v>0</v>
      </c>
    </row>
    <row r="90" spans="1:24">
      <c r="A90" s="21">
        <v>402</v>
      </c>
      <c r="B90" s="21" t="s">
        <v>81</v>
      </c>
      <c r="C90" s="534">
        <v>0</v>
      </c>
      <c r="D90" s="534">
        <v>0</v>
      </c>
      <c r="E90" s="534">
        <v>0</v>
      </c>
      <c r="F90" s="534">
        <v>0</v>
      </c>
      <c r="G90" s="534">
        <v>0</v>
      </c>
      <c r="H90" s="534">
        <v>0</v>
      </c>
      <c r="I90" s="534">
        <v>0</v>
      </c>
      <c r="J90" s="534">
        <v>0</v>
      </c>
      <c r="K90" s="534">
        <v>0</v>
      </c>
      <c r="L90" s="534">
        <v>0</v>
      </c>
      <c r="M90" s="534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</row>
    <row r="91" spans="1:24">
      <c r="A91" s="21">
        <v>403</v>
      </c>
      <c r="B91" s="21" t="s">
        <v>82</v>
      </c>
      <c r="C91" s="534">
        <v>0</v>
      </c>
      <c r="D91" s="534">
        <v>0</v>
      </c>
      <c r="E91" s="534">
        <v>0</v>
      </c>
      <c r="F91" s="534">
        <v>0</v>
      </c>
      <c r="G91" s="534">
        <v>0</v>
      </c>
      <c r="H91" s="534">
        <v>0</v>
      </c>
      <c r="I91" s="534">
        <v>0</v>
      </c>
      <c r="J91" s="534">
        <v>0</v>
      </c>
      <c r="K91" s="534">
        <v>0</v>
      </c>
      <c r="L91" s="534">
        <v>0</v>
      </c>
      <c r="M91" s="534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</row>
    <row r="92" spans="1:24">
      <c r="A92" s="21">
        <v>404</v>
      </c>
      <c r="B92" s="21" t="s">
        <v>83</v>
      </c>
      <c r="C92" s="534">
        <v>0</v>
      </c>
      <c r="D92" s="534">
        <v>0</v>
      </c>
      <c r="E92" s="534">
        <v>0</v>
      </c>
      <c r="F92" s="534">
        <v>0</v>
      </c>
      <c r="G92" s="534">
        <v>0</v>
      </c>
      <c r="H92" s="534">
        <v>0</v>
      </c>
      <c r="I92" s="534">
        <v>0</v>
      </c>
      <c r="J92" s="534">
        <v>0</v>
      </c>
      <c r="K92" s="534">
        <v>0</v>
      </c>
      <c r="L92" s="534">
        <v>0</v>
      </c>
      <c r="M92" s="534">
        <v>1</v>
      </c>
      <c r="N92">
        <v>0</v>
      </c>
      <c r="O92">
        <v>4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</row>
    <row r="93" spans="1:24">
      <c r="A93" s="21">
        <v>411</v>
      </c>
      <c r="B93" s="21" t="s">
        <v>84</v>
      </c>
      <c r="C93" s="534">
        <v>0</v>
      </c>
      <c r="D93" s="534">
        <v>0</v>
      </c>
      <c r="E93" s="534">
        <v>0</v>
      </c>
      <c r="F93" s="534">
        <v>0</v>
      </c>
      <c r="G93" s="534">
        <v>0</v>
      </c>
      <c r="H93" s="534">
        <v>0</v>
      </c>
      <c r="I93" s="534">
        <v>0</v>
      </c>
      <c r="J93" s="534">
        <v>0</v>
      </c>
      <c r="K93" s="534">
        <v>0</v>
      </c>
      <c r="L93" s="534">
        <v>0</v>
      </c>
      <c r="M93" s="534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4</v>
      </c>
      <c r="X93">
        <v>0</v>
      </c>
    </row>
    <row r="94" spans="1:24">
      <c r="A94" s="21">
        <v>420</v>
      </c>
      <c r="B94" s="21" t="s">
        <v>85</v>
      </c>
      <c r="C94" s="534">
        <v>0</v>
      </c>
      <c r="D94" s="534">
        <v>0</v>
      </c>
      <c r="E94" s="534">
        <v>0</v>
      </c>
      <c r="F94" s="534">
        <v>0</v>
      </c>
      <c r="G94" s="534">
        <v>0</v>
      </c>
      <c r="H94" s="534">
        <v>0</v>
      </c>
      <c r="I94" s="534">
        <v>0</v>
      </c>
      <c r="J94" s="534">
        <v>0</v>
      </c>
      <c r="K94" s="534">
        <v>0</v>
      </c>
      <c r="L94" s="534">
        <v>0</v>
      </c>
      <c r="M94" s="53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</row>
    <row r="95" spans="1:24">
      <c r="A95" s="21">
        <v>432</v>
      </c>
      <c r="B95" s="21" t="s">
        <v>86</v>
      </c>
      <c r="C95" s="534">
        <v>0</v>
      </c>
      <c r="D95" s="534">
        <v>0</v>
      </c>
      <c r="E95" s="534">
        <v>0</v>
      </c>
      <c r="F95" s="534">
        <v>0</v>
      </c>
      <c r="G95" s="534">
        <v>0</v>
      </c>
      <c r="H95" s="534">
        <v>4</v>
      </c>
      <c r="I95" s="534">
        <v>4</v>
      </c>
      <c r="J95" s="534">
        <v>0</v>
      </c>
      <c r="K95" s="534">
        <v>0</v>
      </c>
      <c r="L95" s="534">
        <v>0</v>
      </c>
      <c r="M95" s="534">
        <v>0</v>
      </c>
      <c r="N95">
        <v>0</v>
      </c>
      <c r="O95">
        <v>0</v>
      </c>
      <c r="P95">
        <v>4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</row>
    <row r="96" spans="1:24">
      <c r="A96" s="21">
        <v>433</v>
      </c>
      <c r="B96" s="21" t="s">
        <v>87</v>
      </c>
      <c r="C96" s="534">
        <v>0</v>
      </c>
      <c r="D96" s="534">
        <v>0</v>
      </c>
      <c r="E96" s="534">
        <v>0</v>
      </c>
      <c r="F96" s="534">
        <v>0</v>
      </c>
      <c r="G96" s="534">
        <v>0</v>
      </c>
      <c r="H96" s="534">
        <v>0</v>
      </c>
      <c r="I96" s="534">
        <v>0</v>
      </c>
      <c r="J96" s="534">
        <v>0</v>
      </c>
      <c r="K96" s="534">
        <v>0</v>
      </c>
      <c r="L96" s="534">
        <v>4</v>
      </c>
      <c r="M96" s="534">
        <v>4</v>
      </c>
      <c r="N96">
        <v>0</v>
      </c>
      <c r="O96">
        <v>4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</row>
    <row r="97" spans="1:24">
      <c r="A97" s="21">
        <v>434</v>
      </c>
      <c r="B97" s="21" t="s">
        <v>88</v>
      </c>
      <c r="C97" s="534">
        <v>0</v>
      </c>
      <c r="D97" s="534">
        <v>0</v>
      </c>
      <c r="E97" s="534">
        <v>0</v>
      </c>
      <c r="F97" s="534">
        <v>0</v>
      </c>
      <c r="G97" s="534">
        <v>0</v>
      </c>
      <c r="H97" s="534">
        <v>0</v>
      </c>
      <c r="I97" s="534">
        <v>0</v>
      </c>
      <c r="J97" s="534">
        <v>0</v>
      </c>
      <c r="K97" s="534">
        <v>0</v>
      </c>
      <c r="L97" s="534">
        <v>0</v>
      </c>
      <c r="M97" s="534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4</v>
      </c>
      <c r="X97">
        <v>0</v>
      </c>
    </row>
    <row r="98" spans="1:24">
      <c r="A98" s="21">
        <v>435</v>
      </c>
      <c r="B98" s="21" t="s">
        <v>89</v>
      </c>
      <c r="C98" s="534">
        <v>1</v>
      </c>
      <c r="D98" s="534">
        <v>1</v>
      </c>
      <c r="E98" s="534">
        <v>0</v>
      </c>
      <c r="F98" s="534">
        <v>0</v>
      </c>
      <c r="G98" s="534">
        <v>0</v>
      </c>
      <c r="H98" s="534">
        <v>0</v>
      </c>
      <c r="I98" s="534">
        <v>0</v>
      </c>
      <c r="J98" s="534">
        <v>3</v>
      </c>
      <c r="K98" s="534">
        <v>0</v>
      </c>
      <c r="L98" s="534">
        <v>4</v>
      </c>
      <c r="M98" s="534">
        <v>4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</row>
    <row r="99" spans="1:24">
      <c r="A99" s="21">
        <v>436</v>
      </c>
      <c r="B99" s="21" t="s">
        <v>90</v>
      </c>
      <c r="C99" s="534">
        <v>0</v>
      </c>
      <c r="D99" s="534">
        <v>0</v>
      </c>
      <c r="E99" s="534">
        <v>0</v>
      </c>
      <c r="F99" s="534">
        <v>0</v>
      </c>
      <c r="G99" s="534">
        <v>0</v>
      </c>
      <c r="H99" s="534">
        <v>0</v>
      </c>
      <c r="I99" s="534">
        <v>0</v>
      </c>
      <c r="J99" s="534">
        <v>0</v>
      </c>
      <c r="K99" s="534">
        <v>0</v>
      </c>
      <c r="L99" s="534">
        <v>0</v>
      </c>
      <c r="M99" s="534">
        <v>3</v>
      </c>
      <c r="N99">
        <v>0</v>
      </c>
      <c r="O99">
        <v>0</v>
      </c>
      <c r="P99">
        <v>4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</row>
    <row r="100" spans="1:24">
      <c r="A100" s="21">
        <v>437</v>
      </c>
      <c r="B100" s="21" t="s">
        <v>91</v>
      </c>
      <c r="C100" s="534">
        <v>0</v>
      </c>
      <c r="D100" s="534">
        <v>0</v>
      </c>
      <c r="E100" s="534">
        <v>0</v>
      </c>
      <c r="F100" s="534">
        <v>0</v>
      </c>
      <c r="G100" s="534">
        <v>0</v>
      </c>
      <c r="H100" s="534">
        <v>0</v>
      </c>
      <c r="I100" s="534">
        <v>0</v>
      </c>
      <c r="J100" s="534">
        <v>0</v>
      </c>
      <c r="K100" s="534">
        <v>0</v>
      </c>
      <c r="L100" s="534">
        <v>0</v>
      </c>
      <c r="M100" s="534">
        <v>1</v>
      </c>
      <c r="N100">
        <v>0</v>
      </c>
      <c r="O100">
        <v>0</v>
      </c>
      <c r="P100">
        <v>4</v>
      </c>
      <c r="Q100">
        <v>0</v>
      </c>
      <c r="R100">
        <v>0</v>
      </c>
      <c r="S100">
        <v>4</v>
      </c>
      <c r="T100">
        <v>0</v>
      </c>
      <c r="U100">
        <v>0</v>
      </c>
      <c r="V100">
        <v>0</v>
      </c>
      <c r="W100">
        <v>0</v>
      </c>
      <c r="X100">
        <v>0</v>
      </c>
    </row>
    <row r="101" spans="1:24">
      <c r="A101" s="21">
        <v>438</v>
      </c>
      <c r="B101" s="21" t="s">
        <v>92</v>
      </c>
      <c r="C101" s="534">
        <v>0</v>
      </c>
      <c r="D101" s="534">
        <v>0</v>
      </c>
      <c r="E101" s="534">
        <v>0</v>
      </c>
      <c r="F101" s="534">
        <v>0</v>
      </c>
      <c r="G101" s="534">
        <v>0</v>
      </c>
      <c r="H101" s="534">
        <v>0</v>
      </c>
      <c r="I101" s="534">
        <v>0</v>
      </c>
      <c r="J101" s="534">
        <v>0</v>
      </c>
      <c r="K101" s="534">
        <v>0</v>
      </c>
      <c r="L101" s="534">
        <v>0</v>
      </c>
      <c r="M101" s="534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</v>
      </c>
      <c r="T101">
        <v>4</v>
      </c>
      <c r="U101">
        <v>0</v>
      </c>
      <c r="V101">
        <v>3</v>
      </c>
      <c r="W101">
        <v>4</v>
      </c>
      <c r="X101">
        <v>4</v>
      </c>
    </row>
    <row r="102" spans="1:24">
      <c r="A102" s="21">
        <v>439</v>
      </c>
      <c r="B102" s="21" t="s">
        <v>93</v>
      </c>
      <c r="C102" s="534">
        <v>0</v>
      </c>
      <c r="D102" s="534">
        <v>0</v>
      </c>
      <c r="E102" s="534">
        <v>0</v>
      </c>
      <c r="F102" s="534">
        <v>0</v>
      </c>
      <c r="G102" s="534">
        <v>0</v>
      </c>
      <c r="H102" s="534">
        <v>4</v>
      </c>
      <c r="I102" s="534">
        <v>4</v>
      </c>
      <c r="J102" s="534">
        <v>0</v>
      </c>
      <c r="K102" s="534">
        <v>0</v>
      </c>
      <c r="L102" s="534">
        <v>0</v>
      </c>
      <c r="M102" s="534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>
      <c r="A103" s="21">
        <v>450</v>
      </c>
      <c r="B103" s="21" t="s">
        <v>94</v>
      </c>
      <c r="C103" s="534">
        <v>0</v>
      </c>
      <c r="D103" s="534">
        <v>0</v>
      </c>
      <c r="E103" s="534">
        <v>0</v>
      </c>
      <c r="F103" s="534">
        <v>0</v>
      </c>
      <c r="G103" s="534">
        <v>1</v>
      </c>
      <c r="H103" s="534">
        <v>1</v>
      </c>
      <c r="I103" s="534">
        <v>1</v>
      </c>
      <c r="J103" s="534">
        <v>1</v>
      </c>
      <c r="K103" s="534">
        <v>1</v>
      </c>
      <c r="L103" s="534">
        <v>0</v>
      </c>
      <c r="M103" s="534">
        <v>2</v>
      </c>
      <c r="N103">
        <v>4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3</v>
      </c>
      <c r="V103">
        <v>3</v>
      </c>
      <c r="W103">
        <v>4</v>
      </c>
      <c r="X103">
        <v>4</v>
      </c>
    </row>
    <row r="104" spans="1:24">
      <c r="A104" s="21">
        <v>451</v>
      </c>
      <c r="B104" s="21" t="s">
        <v>95</v>
      </c>
      <c r="C104" s="534">
        <v>0</v>
      </c>
      <c r="D104" s="534">
        <v>0</v>
      </c>
      <c r="E104" s="534">
        <v>0</v>
      </c>
      <c r="F104" s="534">
        <v>0</v>
      </c>
      <c r="G104" s="534">
        <v>0</v>
      </c>
      <c r="H104" s="534">
        <v>0</v>
      </c>
      <c r="I104" s="534">
        <v>0</v>
      </c>
      <c r="J104" s="534">
        <v>0</v>
      </c>
      <c r="K104" s="534">
        <v>0</v>
      </c>
      <c r="L104" s="534">
        <v>0</v>
      </c>
      <c r="M104" s="534">
        <v>3</v>
      </c>
      <c r="N104">
        <v>4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4</v>
      </c>
      <c r="U104">
        <v>0</v>
      </c>
      <c r="V104">
        <v>3</v>
      </c>
      <c r="W104">
        <v>0</v>
      </c>
      <c r="X104">
        <v>4</v>
      </c>
    </row>
    <row r="105" spans="1:24">
      <c r="A105" s="21">
        <v>452</v>
      </c>
      <c r="B105" s="21" t="s">
        <v>96</v>
      </c>
      <c r="C105" s="534">
        <v>0</v>
      </c>
      <c r="D105" s="534">
        <v>0</v>
      </c>
      <c r="E105" s="534">
        <v>4</v>
      </c>
      <c r="F105" s="534">
        <v>0</v>
      </c>
      <c r="G105" s="534">
        <v>0</v>
      </c>
      <c r="H105" s="534">
        <v>0</v>
      </c>
      <c r="I105" s="534">
        <v>0</v>
      </c>
      <c r="J105" s="534">
        <v>0</v>
      </c>
      <c r="K105" s="534">
        <v>0</v>
      </c>
      <c r="L105" s="534">
        <v>0</v>
      </c>
      <c r="M105" s="534">
        <v>0</v>
      </c>
      <c r="N105">
        <v>0</v>
      </c>
      <c r="O105">
        <v>0</v>
      </c>
      <c r="P105">
        <v>3</v>
      </c>
      <c r="Q105">
        <v>3</v>
      </c>
      <c r="R105">
        <v>0</v>
      </c>
      <c r="S105">
        <v>0</v>
      </c>
      <c r="T105">
        <v>4</v>
      </c>
      <c r="U105">
        <v>0</v>
      </c>
      <c r="V105">
        <v>0</v>
      </c>
      <c r="W105">
        <v>0</v>
      </c>
      <c r="X105">
        <v>0</v>
      </c>
    </row>
    <row r="106" spans="1:24">
      <c r="A106" s="21">
        <v>461</v>
      </c>
      <c r="B106" s="21" t="s">
        <v>97</v>
      </c>
      <c r="C106" s="534">
        <v>0</v>
      </c>
      <c r="D106" s="534">
        <v>0</v>
      </c>
      <c r="E106" s="534">
        <v>4</v>
      </c>
      <c r="F106" s="534">
        <v>0</v>
      </c>
      <c r="G106" s="534">
        <v>0</v>
      </c>
      <c r="H106" s="534">
        <v>0</v>
      </c>
      <c r="I106" s="534">
        <v>0</v>
      </c>
      <c r="J106" s="534">
        <v>0</v>
      </c>
      <c r="K106" s="534">
        <v>0</v>
      </c>
      <c r="L106" s="534">
        <v>0</v>
      </c>
      <c r="M106" s="534">
        <v>0</v>
      </c>
      <c r="N106">
        <v>0</v>
      </c>
      <c r="O106">
        <v>0</v>
      </c>
      <c r="P106">
        <v>3</v>
      </c>
      <c r="Q106">
        <v>3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</row>
    <row r="107" spans="1:24">
      <c r="A107" s="21">
        <v>471</v>
      </c>
      <c r="B107" s="21" t="s">
        <v>98</v>
      </c>
      <c r="C107" s="534">
        <v>0</v>
      </c>
      <c r="D107" s="534">
        <v>4</v>
      </c>
      <c r="E107" s="534">
        <v>0</v>
      </c>
      <c r="F107" s="534">
        <v>0</v>
      </c>
      <c r="G107" s="534">
        <v>0</v>
      </c>
      <c r="H107" s="534">
        <v>0</v>
      </c>
      <c r="I107" s="534">
        <v>0</v>
      </c>
      <c r="J107" s="534">
        <v>3</v>
      </c>
      <c r="K107" s="534">
        <v>0</v>
      </c>
      <c r="L107" s="534">
        <v>0</v>
      </c>
      <c r="M107" s="534">
        <v>0</v>
      </c>
      <c r="N107">
        <v>0</v>
      </c>
      <c r="O107">
        <v>0</v>
      </c>
      <c r="P107">
        <v>0</v>
      </c>
      <c r="Q107">
        <v>4</v>
      </c>
      <c r="R107">
        <v>4</v>
      </c>
      <c r="S107">
        <v>4</v>
      </c>
      <c r="T107">
        <v>0</v>
      </c>
      <c r="U107">
        <v>4</v>
      </c>
      <c r="V107">
        <v>0</v>
      </c>
      <c r="W107">
        <v>0</v>
      </c>
      <c r="X107">
        <v>4</v>
      </c>
    </row>
    <row r="108" spans="1:24">
      <c r="A108" s="21">
        <v>475</v>
      </c>
      <c r="B108" s="21" t="s">
        <v>99</v>
      </c>
      <c r="C108" s="534">
        <v>0</v>
      </c>
      <c r="D108" s="534">
        <v>4</v>
      </c>
      <c r="E108" s="534">
        <v>0</v>
      </c>
      <c r="F108" s="534">
        <v>4</v>
      </c>
      <c r="G108" s="534">
        <v>0</v>
      </c>
      <c r="H108" s="534">
        <v>0</v>
      </c>
      <c r="I108" s="534">
        <v>0</v>
      </c>
      <c r="J108" s="534">
        <v>1</v>
      </c>
      <c r="K108" s="534">
        <v>0</v>
      </c>
      <c r="L108" s="534">
        <v>0</v>
      </c>
      <c r="M108" s="534">
        <v>0</v>
      </c>
      <c r="N108">
        <v>0</v>
      </c>
      <c r="O108">
        <v>0</v>
      </c>
      <c r="P108">
        <v>4</v>
      </c>
      <c r="Q108">
        <v>4</v>
      </c>
      <c r="R108">
        <v>4</v>
      </c>
      <c r="S108">
        <v>4</v>
      </c>
      <c r="T108">
        <v>4</v>
      </c>
      <c r="U108">
        <v>3</v>
      </c>
      <c r="V108">
        <v>2</v>
      </c>
      <c r="W108">
        <v>4</v>
      </c>
      <c r="X108">
        <v>0</v>
      </c>
    </row>
    <row r="109" spans="1:24">
      <c r="A109" s="21">
        <v>481</v>
      </c>
      <c r="B109" s="21" t="s">
        <v>100</v>
      </c>
      <c r="C109" s="534">
        <v>0</v>
      </c>
      <c r="D109" s="534">
        <v>0</v>
      </c>
      <c r="E109" s="534">
        <v>0</v>
      </c>
      <c r="F109" s="534">
        <v>0</v>
      </c>
      <c r="G109" s="534">
        <v>0</v>
      </c>
      <c r="H109" s="534">
        <v>0</v>
      </c>
      <c r="I109" s="534">
        <v>0</v>
      </c>
      <c r="J109" s="534">
        <v>0</v>
      </c>
      <c r="K109" s="534">
        <v>0</v>
      </c>
      <c r="L109" s="534">
        <v>0</v>
      </c>
      <c r="M109" s="534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</row>
    <row r="110" spans="1:24">
      <c r="A110" s="21">
        <v>482</v>
      </c>
      <c r="B110" s="21" t="s">
        <v>101</v>
      </c>
      <c r="C110" s="534">
        <v>0</v>
      </c>
      <c r="D110" s="534">
        <v>0</v>
      </c>
      <c r="E110" s="534">
        <v>0</v>
      </c>
      <c r="F110" s="534">
        <v>0</v>
      </c>
      <c r="G110" s="534">
        <v>0</v>
      </c>
      <c r="H110" s="534">
        <v>0</v>
      </c>
      <c r="I110" s="534">
        <v>0</v>
      </c>
      <c r="J110" s="534">
        <v>0</v>
      </c>
      <c r="K110" s="534">
        <v>0</v>
      </c>
      <c r="L110" s="534">
        <v>0</v>
      </c>
      <c r="M110" s="534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4</v>
      </c>
    </row>
    <row r="111" spans="1:24">
      <c r="A111" s="21">
        <v>483</v>
      </c>
      <c r="B111" s="21" t="s">
        <v>102</v>
      </c>
      <c r="C111" s="534">
        <v>4</v>
      </c>
      <c r="D111" s="534">
        <v>2</v>
      </c>
      <c r="E111" s="534">
        <v>0</v>
      </c>
      <c r="F111" s="534">
        <v>4</v>
      </c>
      <c r="G111" s="534">
        <v>4</v>
      </c>
      <c r="H111" s="534">
        <v>0</v>
      </c>
      <c r="I111" s="534">
        <v>4</v>
      </c>
      <c r="J111" s="534">
        <v>4</v>
      </c>
      <c r="K111" s="534">
        <v>0</v>
      </c>
      <c r="L111" s="534">
        <v>0</v>
      </c>
      <c r="M111" s="534">
        <v>0</v>
      </c>
      <c r="N111">
        <v>0</v>
      </c>
      <c r="O111">
        <v>0</v>
      </c>
      <c r="P111">
        <v>4</v>
      </c>
      <c r="Q111">
        <v>3</v>
      </c>
      <c r="R111">
        <v>4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3</v>
      </c>
    </row>
    <row r="112" spans="1:24">
      <c r="A112" s="21">
        <v>484</v>
      </c>
      <c r="B112" s="21" t="s">
        <v>103</v>
      </c>
      <c r="C112" s="534">
        <v>1</v>
      </c>
      <c r="D112" s="534">
        <v>0</v>
      </c>
      <c r="E112" s="534">
        <v>0</v>
      </c>
      <c r="F112" s="534">
        <v>0</v>
      </c>
      <c r="G112" s="534">
        <v>0</v>
      </c>
      <c r="H112" s="534">
        <v>0</v>
      </c>
      <c r="I112" s="534">
        <v>0</v>
      </c>
      <c r="J112" s="534">
        <v>4</v>
      </c>
      <c r="K112" s="534">
        <v>0</v>
      </c>
      <c r="L112" s="534">
        <v>0</v>
      </c>
      <c r="M112" s="534">
        <v>0</v>
      </c>
      <c r="N112">
        <v>0</v>
      </c>
      <c r="O112">
        <v>0</v>
      </c>
      <c r="P112">
        <v>4</v>
      </c>
      <c r="Q112">
        <v>0</v>
      </c>
      <c r="R112">
        <v>4</v>
      </c>
      <c r="S112">
        <v>0</v>
      </c>
      <c r="T112">
        <v>4</v>
      </c>
      <c r="U112">
        <v>0</v>
      </c>
      <c r="V112">
        <v>0</v>
      </c>
      <c r="W112">
        <v>0</v>
      </c>
      <c r="X112">
        <v>0</v>
      </c>
    </row>
    <row r="113" spans="1:24">
      <c r="A113" s="21">
        <v>490</v>
      </c>
      <c r="B113" s="21" t="s">
        <v>104</v>
      </c>
      <c r="C113" s="534">
        <v>4</v>
      </c>
      <c r="D113" s="534">
        <v>4</v>
      </c>
      <c r="E113" s="534">
        <v>4</v>
      </c>
      <c r="F113" s="534">
        <v>4</v>
      </c>
      <c r="G113" s="534">
        <v>4</v>
      </c>
      <c r="H113" s="534">
        <v>0</v>
      </c>
      <c r="I113" s="534">
        <v>0</v>
      </c>
      <c r="J113" s="534">
        <v>4</v>
      </c>
      <c r="K113" s="534">
        <v>0</v>
      </c>
      <c r="L113" s="534">
        <v>0</v>
      </c>
      <c r="M113" s="534">
        <v>4</v>
      </c>
      <c r="N113">
        <v>3</v>
      </c>
      <c r="O113">
        <v>0</v>
      </c>
      <c r="P113">
        <v>4</v>
      </c>
      <c r="Q113">
        <v>4</v>
      </c>
      <c r="R113">
        <v>0</v>
      </c>
      <c r="S113">
        <v>4</v>
      </c>
      <c r="T113">
        <v>4</v>
      </c>
      <c r="U113">
        <v>5</v>
      </c>
      <c r="V113">
        <v>0</v>
      </c>
      <c r="W113">
        <v>0</v>
      </c>
      <c r="X113">
        <v>0</v>
      </c>
    </row>
    <row r="114" spans="1:24">
      <c r="A114" s="21">
        <v>500</v>
      </c>
      <c r="B114" s="21" t="s">
        <v>105</v>
      </c>
      <c r="C114" s="534">
        <v>0</v>
      </c>
      <c r="D114" s="534">
        <v>0</v>
      </c>
      <c r="E114" s="534">
        <v>0</v>
      </c>
      <c r="F114" s="534">
        <v>0</v>
      </c>
      <c r="G114" s="534">
        <v>0</v>
      </c>
      <c r="H114" s="534">
        <v>0</v>
      </c>
      <c r="I114" s="534">
        <v>0</v>
      </c>
      <c r="J114" s="534">
        <v>4</v>
      </c>
      <c r="K114" s="534">
        <v>0</v>
      </c>
      <c r="L114" s="534">
        <v>4</v>
      </c>
      <c r="M114" s="534">
        <v>4</v>
      </c>
      <c r="N114">
        <v>4</v>
      </c>
      <c r="O114">
        <v>0</v>
      </c>
      <c r="P114">
        <v>0</v>
      </c>
      <c r="Q114">
        <v>4</v>
      </c>
      <c r="R114">
        <v>3</v>
      </c>
      <c r="S114">
        <v>4</v>
      </c>
      <c r="T114">
        <v>3</v>
      </c>
      <c r="U114">
        <v>4</v>
      </c>
      <c r="V114">
        <v>4</v>
      </c>
      <c r="W114">
        <v>4</v>
      </c>
      <c r="X114">
        <v>3</v>
      </c>
    </row>
    <row r="115" spans="1:24">
      <c r="A115" s="21">
        <v>501</v>
      </c>
      <c r="B115" s="21" t="s">
        <v>106</v>
      </c>
      <c r="C115" s="534">
        <v>0</v>
      </c>
      <c r="D115" s="534">
        <v>0</v>
      </c>
      <c r="E115" s="534">
        <v>0</v>
      </c>
      <c r="F115" s="534">
        <v>0</v>
      </c>
      <c r="G115" s="534">
        <v>0</v>
      </c>
      <c r="H115" s="534">
        <v>0</v>
      </c>
      <c r="I115" s="534">
        <v>0</v>
      </c>
      <c r="J115" s="534">
        <v>4</v>
      </c>
      <c r="K115" s="534">
        <v>0</v>
      </c>
      <c r="L115" s="534">
        <v>4</v>
      </c>
      <c r="M115" s="534">
        <v>0</v>
      </c>
      <c r="N115">
        <v>0</v>
      </c>
      <c r="O115">
        <v>0</v>
      </c>
      <c r="P115">
        <v>0</v>
      </c>
      <c r="Q115">
        <v>0</v>
      </c>
      <c r="R115">
        <v>3</v>
      </c>
      <c r="S115">
        <v>0</v>
      </c>
      <c r="T115">
        <v>3</v>
      </c>
      <c r="U115">
        <v>0</v>
      </c>
      <c r="V115">
        <v>4</v>
      </c>
      <c r="W115">
        <v>0</v>
      </c>
      <c r="X115">
        <v>0</v>
      </c>
    </row>
    <row r="116" spans="1:24">
      <c r="A116" s="21">
        <v>510</v>
      </c>
      <c r="B116" s="21" t="s">
        <v>107</v>
      </c>
      <c r="C116" s="534">
        <v>0</v>
      </c>
      <c r="D116" s="534">
        <v>0</v>
      </c>
      <c r="E116" s="534">
        <v>0</v>
      </c>
      <c r="F116" s="534">
        <v>0</v>
      </c>
      <c r="G116" s="534">
        <v>0</v>
      </c>
      <c r="H116" s="534">
        <v>0</v>
      </c>
      <c r="I116" s="534">
        <v>0</v>
      </c>
      <c r="J116" s="534">
        <v>0</v>
      </c>
      <c r="K116" s="534">
        <v>0</v>
      </c>
      <c r="L116" s="534">
        <v>0</v>
      </c>
      <c r="M116" s="534">
        <v>0</v>
      </c>
      <c r="N116">
        <v>0</v>
      </c>
      <c r="O116">
        <v>0</v>
      </c>
      <c r="P116">
        <v>0</v>
      </c>
      <c r="Q116">
        <v>0</v>
      </c>
      <c r="R116">
        <v>3</v>
      </c>
      <c r="S116">
        <v>0</v>
      </c>
      <c r="T116">
        <v>4</v>
      </c>
      <c r="U116">
        <v>0</v>
      </c>
      <c r="V116">
        <v>0</v>
      </c>
      <c r="W116">
        <v>3</v>
      </c>
      <c r="X116">
        <v>0</v>
      </c>
    </row>
    <row r="117" spans="1:24">
      <c r="A117" s="21">
        <v>516</v>
      </c>
      <c r="B117" s="21" t="s">
        <v>108</v>
      </c>
      <c r="C117" s="534">
        <v>0</v>
      </c>
      <c r="D117" s="534">
        <v>0</v>
      </c>
      <c r="E117" s="534">
        <v>0</v>
      </c>
      <c r="F117" s="534">
        <v>0</v>
      </c>
      <c r="G117" s="534">
        <v>0</v>
      </c>
      <c r="H117" s="534">
        <v>0</v>
      </c>
      <c r="I117" s="534">
        <v>0</v>
      </c>
      <c r="J117" s="534">
        <v>0</v>
      </c>
      <c r="K117" s="534">
        <v>0</v>
      </c>
      <c r="L117" s="534">
        <v>0</v>
      </c>
      <c r="M117" s="534">
        <v>0</v>
      </c>
      <c r="N117">
        <v>0</v>
      </c>
      <c r="O117">
        <v>0</v>
      </c>
      <c r="P117">
        <v>0</v>
      </c>
      <c r="Q117">
        <v>0</v>
      </c>
      <c r="R117">
        <v>3</v>
      </c>
      <c r="S117">
        <v>0</v>
      </c>
      <c r="T117">
        <v>4</v>
      </c>
      <c r="U117">
        <v>0</v>
      </c>
      <c r="V117">
        <v>0</v>
      </c>
      <c r="W117">
        <v>3</v>
      </c>
      <c r="X117">
        <v>0</v>
      </c>
    </row>
    <row r="118" spans="1:24">
      <c r="A118" s="21">
        <v>517</v>
      </c>
      <c r="B118" s="21" t="s">
        <v>109</v>
      </c>
      <c r="C118" s="534">
        <v>0</v>
      </c>
      <c r="D118" s="534">
        <v>0</v>
      </c>
      <c r="E118" s="534">
        <v>0</v>
      </c>
      <c r="F118" s="534">
        <v>0</v>
      </c>
      <c r="G118" s="534">
        <v>0</v>
      </c>
      <c r="H118" s="534">
        <v>0</v>
      </c>
      <c r="I118" s="534">
        <v>0</v>
      </c>
      <c r="J118" s="534">
        <v>0</v>
      </c>
      <c r="K118" s="534">
        <v>0</v>
      </c>
      <c r="L118" s="534">
        <v>0</v>
      </c>
      <c r="M118" s="534">
        <v>0</v>
      </c>
      <c r="N118">
        <v>4</v>
      </c>
      <c r="O118">
        <v>0</v>
      </c>
      <c r="P118">
        <v>0</v>
      </c>
      <c r="Q118">
        <v>0</v>
      </c>
      <c r="R118">
        <v>0</v>
      </c>
      <c r="S118">
        <v>4</v>
      </c>
      <c r="T118">
        <v>0</v>
      </c>
      <c r="U118">
        <v>5</v>
      </c>
      <c r="V118">
        <v>4</v>
      </c>
      <c r="W118">
        <v>4</v>
      </c>
      <c r="X118">
        <v>3</v>
      </c>
    </row>
    <row r="119" spans="1:24">
      <c r="A119" s="21">
        <v>520</v>
      </c>
      <c r="B119" s="21" t="s">
        <v>110</v>
      </c>
      <c r="C119" s="534">
        <v>4</v>
      </c>
      <c r="D119" s="534">
        <v>4</v>
      </c>
      <c r="E119" s="534">
        <v>4</v>
      </c>
      <c r="F119" s="534">
        <v>4</v>
      </c>
      <c r="G119" s="534">
        <v>4</v>
      </c>
      <c r="H119" s="534">
        <v>4</v>
      </c>
      <c r="I119" s="534">
        <v>0</v>
      </c>
      <c r="J119" s="534">
        <v>4</v>
      </c>
      <c r="K119" s="534">
        <v>0</v>
      </c>
      <c r="L119" s="534">
        <v>4</v>
      </c>
      <c r="M119" s="534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</row>
    <row r="120" spans="1:24">
      <c r="A120" s="21">
        <v>522</v>
      </c>
      <c r="B120" s="21" t="s">
        <v>111</v>
      </c>
      <c r="C120" s="534">
        <v>0</v>
      </c>
      <c r="D120" s="534">
        <v>0</v>
      </c>
      <c r="E120" s="534">
        <v>0</v>
      </c>
      <c r="F120" s="534">
        <v>0</v>
      </c>
      <c r="G120" s="534">
        <v>0</v>
      </c>
      <c r="H120" s="534">
        <v>0</v>
      </c>
      <c r="I120" s="534">
        <v>1</v>
      </c>
      <c r="J120" s="534">
        <v>0</v>
      </c>
      <c r="K120" s="534">
        <v>0</v>
      </c>
      <c r="L120" s="534">
        <v>0</v>
      </c>
      <c r="M120" s="534">
        <v>0</v>
      </c>
      <c r="N120">
        <v>0</v>
      </c>
      <c r="O120">
        <v>0</v>
      </c>
      <c r="P120">
        <v>0</v>
      </c>
      <c r="Q120">
        <v>0</v>
      </c>
      <c r="R120">
        <v>4</v>
      </c>
      <c r="S120">
        <v>0</v>
      </c>
      <c r="T120">
        <v>0</v>
      </c>
      <c r="U120">
        <v>3</v>
      </c>
      <c r="V120">
        <v>0</v>
      </c>
      <c r="W120">
        <v>0</v>
      </c>
      <c r="X120">
        <v>0</v>
      </c>
    </row>
    <row r="121" spans="1:24">
      <c r="A121" s="21">
        <v>530</v>
      </c>
      <c r="B121" s="21" t="s">
        <v>112</v>
      </c>
      <c r="C121" s="534">
        <v>0</v>
      </c>
      <c r="D121" s="534">
        <v>0</v>
      </c>
      <c r="E121" s="534">
        <v>3</v>
      </c>
      <c r="F121" s="534">
        <v>0</v>
      </c>
      <c r="G121" s="534">
        <v>0</v>
      </c>
      <c r="H121" s="534">
        <v>0</v>
      </c>
      <c r="I121" s="534">
        <v>4</v>
      </c>
      <c r="J121" s="534">
        <v>4</v>
      </c>
      <c r="K121" s="534">
        <v>3</v>
      </c>
      <c r="L121" s="534">
        <v>0</v>
      </c>
      <c r="M121" s="534">
        <v>0</v>
      </c>
      <c r="N121">
        <v>0</v>
      </c>
      <c r="O121">
        <v>0</v>
      </c>
      <c r="P121">
        <v>0</v>
      </c>
      <c r="Q121">
        <v>4</v>
      </c>
      <c r="R121">
        <v>0</v>
      </c>
      <c r="S121">
        <v>0</v>
      </c>
      <c r="T121">
        <v>4</v>
      </c>
      <c r="U121">
        <v>5</v>
      </c>
      <c r="V121">
        <v>4</v>
      </c>
      <c r="W121">
        <v>0</v>
      </c>
      <c r="X121">
        <v>0</v>
      </c>
    </row>
    <row r="122" spans="1:24">
      <c r="A122" s="21">
        <v>531</v>
      </c>
      <c r="B122" s="21" t="s">
        <v>113</v>
      </c>
      <c r="C122" s="534">
        <v>0</v>
      </c>
      <c r="D122" s="534">
        <v>0</v>
      </c>
      <c r="E122" s="534">
        <v>0</v>
      </c>
      <c r="F122" s="534">
        <v>0</v>
      </c>
      <c r="G122" s="534">
        <v>0</v>
      </c>
      <c r="H122" s="534">
        <v>0</v>
      </c>
      <c r="I122" s="534">
        <v>0</v>
      </c>
      <c r="J122" s="534">
        <v>0</v>
      </c>
      <c r="K122" s="534">
        <v>0</v>
      </c>
      <c r="L122" s="534">
        <v>0</v>
      </c>
      <c r="M122" s="534">
        <v>0</v>
      </c>
      <c r="N122">
        <v>0</v>
      </c>
      <c r="O122">
        <v>0</v>
      </c>
      <c r="P122">
        <v>0</v>
      </c>
      <c r="Q122">
        <v>3</v>
      </c>
      <c r="R122">
        <v>4</v>
      </c>
      <c r="S122">
        <v>4</v>
      </c>
      <c r="T122">
        <v>4</v>
      </c>
      <c r="U122">
        <v>3</v>
      </c>
      <c r="V122">
        <v>4</v>
      </c>
      <c r="W122">
        <v>0</v>
      </c>
      <c r="X122">
        <v>0</v>
      </c>
    </row>
    <row r="123" spans="1:24">
      <c r="A123" s="21">
        <v>540</v>
      </c>
      <c r="B123" s="21" t="s">
        <v>114</v>
      </c>
      <c r="C123" s="534">
        <v>4</v>
      </c>
      <c r="D123" s="534">
        <v>4</v>
      </c>
      <c r="E123" s="534">
        <v>4</v>
      </c>
      <c r="F123" s="534">
        <v>4</v>
      </c>
      <c r="G123" s="534">
        <v>4</v>
      </c>
      <c r="H123" s="534">
        <v>4</v>
      </c>
      <c r="I123" s="534">
        <v>4</v>
      </c>
      <c r="J123" s="534">
        <v>4</v>
      </c>
      <c r="K123" s="534">
        <v>4</v>
      </c>
      <c r="L123" s="534">
        <v>0</v>
      </c>
      <c r="M123" s="534">
        <v>0</v>
      </c>
      <c r="N123">
        <v>0</v>
      </c>
      <c r="O123">
        <v>0</v>
      </c>
      <c r="P123">
        <v>0</v>
      </c>
      <c r="Q123">
        <v>3</v>
      </c>
      <c r="R123">
        <v>4</v>
      </c>
      <c r="S123">
        <v>0</v>
      </c>
      <c r="T123">
        <v>4</v>
      </c>
      <c r="U123">
        <v>0</v>
      </c>
      <c r="V123">
        <v>0</v>
      </c>
      <c r="W123">
        <v>0</v>
      </c>
      <c r="X123">
        <v>4</v>
      </c>
    </row>
    <row r="124" spans="1:24">
      <c r="A124" s="21">
        <v>541</v>
      </c>
      <c r="B124" s="21" t="s">
        <v>115</v>
      </c>
      <c r="C124" s="534">
        <v>0</v>
      </c>
      <c r="D124" s="534">
        <v>0</v>
      </c>
      <c r="E124" s="534">
        <v>0</v>
      </c>
      <c r="F124" s="534">
        <v>4</v>
      </c>
      <c r="G124" s="534">
        <v>0</v>
      </c>
      <c r="H124" s="534">
        <v>0</v>
      </c>
      <c r="I124" s="534">
        <v>2</v>
      </c>
      <c r="J124" s="534">
        <v>4</v>
      </c>
      <c r="K124" s="534">
        <v>0</v>
      </c>
      <c r="L124" s="534">
        <v>0</v>
      </c>
      <c r="M124" s="534">
        <v>0</v>
      </c>
      <c r="N124">
        <v>0</v>
      </c>
      <c r="O124">
        <v>0</v>
      </c>
      <c r="P124">
        <v>0</v>
      </c>
      <c r="Q124">
        <v>3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</row>
    <row r="125" spans="1:24">
      <c r="A125" s="21">
        <v>551</v>
      </c>
      <c r="B125" s="21" t="s">
        <v>116</v>
      </c>
      <c r="C125" s="534">
        <v>1</v>
      </c>
      <c r="D125" s="534">
        <v>1</v>
      </c>
      <c r="E125" s="534">
        <v>4</v>
      </c>
      <c r="F125" s="534">
        <v>4</v>
      </c>
      <c r="G125" s="534">
        <v>4</v>
      </c>
      <c r="H125" s="534">
        <v>0</v>
      </c>
      <c r="I125" s="534">
        <v>2</v>
      </c>
      <c r="J125" s="534">
        <v>1</v>
      </c>
      <c r="K125" s="534">
        <v>0</v>
      </c>
      <c r="L125" s="534">
        <v>0</v>
      </c>
      <c r="M125" s="534">
        <v>1</v>
      </c>
      <c r="N125">
        <v>0</v>
      </c>
      <c r="O125">
        <v>0</v>
      </c>
      <c r="P125">
        <v>0</v>
      </c>
      <c r="Q125">
        <v>4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4</v>
      </c>
    </row>
    <row r="126" spans="1:24">
      <c r="A126" s="21">
        <v>552</v>
      </c>
      <c r="B126" s="21" t="s">
        <v>117</v>
      </c>
      <c r="C126" s="534">
        <v>0</v>
      </c>
      <c r="D126" s="534">
        <v>0</v>
      </c>
      <c r="E126" s="534">
        <v>0</v>
      </c>
      <c r="F126" s="534">
        <v>0</v>
      </c>
      <c r="G126" s="534">
        <v>0</v>
      </c>
      <c r="H126" s="534">
        <v>0</v>
      </c>
      <c r="I126" s="534">
        <v>2</v>
      </c>
      <c r="J126" s="534">
        <v>0</v>
      </c>
      <c r="K126" s="534">
        <v>1</v>
      </c>
      <c r="L126" s="534">
        <v>0</v>
      </c>
      <c r="M126" s="534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1:24">
      <c r="A127" s="21">
        <v>553</v>
      </c>
      <c r="B127" s="21" t="s">
        <v>118</v>
      </c>
      <c r="C127" s="534">
        <v>0</v>
      </c>
      <c r="D127" s="534">
        <v>0</v>
      </c>
      <c r="E127" s="534">
        <v>0</v>
      </c>
      <c r="F127" s="534">
        <v>0</v>
      </c>
      <c r="G127" s="534">
        <v>0</v>
      </c>
      <c r="H127" s="534">
        <v>0</v>
      </c>
      <c r="I127" s="534">
        <v>1</v>
      </c>
      <c r="J127" s="534">
        <v>0</v>
      </c>
      <c r="K127" s="534">
        <v>0</v>
      </c>
      <c r="L127" s="534">
        <v>0</v>
      </c>
      <c r="M127" s="534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</row>
    <row r="128" spans="1:24">
      <c r="A128" s="21">
        <v>560</v>
      </c>
      <c r="B128" s="21" t="s">
        <v>119</v>
      </c>
      <c r="C128" s="534">
        <v>4</v>
      </c>
      <c r="D128" s="534">
        <v>4</v>
      </c>
      <c r="E128" s="534">
        <v>4</v>
      </c>
      <c r="F128" s="534">
        <v>4</v>
      </c>
      <c r="G128" s="534">
        <v>4</v>
      </c>
      <c r="H128" s="534">
        <v>4</v>
      </c>
      <c r="I128" s="534">
        <v>4</v>
      </c>
      <c r="J128" s="534">
        <v>4</v>
      </c>
      <c r="K128" s="534">
        <v>4</v>
      </c>
      <c r="L128" s="534">
        <v>0</v>
      </c>
      <c r="M128" s="534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</row>
    <row r="129" spans="1:24">
      <c r="A129" s="21">
        <v>565</v>
      </c>
      <c r="B129" s="21" t="s">
        <v>120</v>
      </c>
      <c r="C129" s="534">
        <v>0</v>
      </c>
      <c r="D129" s="534">
        <v>0</v>
      </c>
      <c r="E129" s="534">
        <v>0</v>
      </c>
      <c r="F129" s="534">
        <v>0</v>
      </c>
      <c r="G129" s="534">
        <v>0</v>
      </c>
      <c r="H129" s="534">
        <v>0</v>
      </c>
      <c r="I129" s="534">
        <v>0</v>
      </c>
      <c r="J129" s="534">
        <v>0</v>
      </c>
      <c r="K129" s="534">
        <v>0</v>
      </c>
      <c r="L129" s="534">
        <v>0</v>
      </c>
      <c r="M129" s="534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3</v>
      </c>
      <c r="U129">
        <v>0</v>
      </c>
      <c r="V129">
        <v>0</v>
      </c>
      <c r="W129">
        <v>0</v>
      </c>
      <c r="X129">
        <v>0</v>
      </c>
    </row>
    <row r="130" spans="1:24">
      <c r="A130" s="21">
        <v>570</v>
      </c>
      <c r="B130" s="21" t="s">
        <v>121</v>
      </c>
      <c r="C130" s="534">
        <v>0</v>
      </c>
      <c r="D130" s="534">
        <v>0</v>
      </c>
      <c r="E130" s="534">
        <v>1</v>
      </c>
      <c r="F130" s="534">
        <v>1</v>
      </c>
      <c r="G130" s="534">
        <v>0</v>
      </c>
      <c r="H130" s="534">
        <v>0</v>
      </c>
      <c r="I130" s="534">
        <v>0</v>
      </c>
      <c r="J130" s="534">
        <v>0</v>
      </c>
      <c r="K130" s="534">
        <v>0</v>
      </c>
      <c r="L130" s="534">
        <v>0</v>
      </c>
      <c r="M130" s="534">
        <v>0</v>
      </c>
      <c r="N130">
        <v>0</v>
      </c>
      <c r="O130">
        <v>0</v>
      </c>
      <c r="P130">
        <v>0</v>
      </c>
      <c r="Q130">
        <v>3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>
      <c r="A131" s="21">
        <v>571</v>
      </c>
      <c r="B131" s="21" t="s">
        <v>122</v>
      </c>
      <c r="C131" s="534">
        <v>0</v>
      </c>
      <c r="D131" s="534">
        <v>0</v>
      </c>
      <c r="E131" s="534">
        <v>0</v>
      </c>
      <c r="F131" s="534">
        <v>0</v>
      </c>
      <c r="G131" s="534">
        <v>4</v>
      </c>
      <c r="H131" s="534">
        <v>1</v>
      </c>
      <c r="I131" s="534">
        <v>1</v>
      </c>
      <c r="J131" s="534">
        <v>1</v>
      </c>
      <c r="K131" s="534">
        <v>4</v>
      </c>
      <c r="L131" s="534">
        <v>0</v>
      </c>
      <c r="M131" s="534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3</v>
      </c>
      <c r="U131">
        <v>0</v>
      </c>
      <c r="V131">
        <v>0</v>
      </c>
      <c r="W131">
        <v>0</v>
      </c>
      <c r="X131">
        <v>0</v>
      </c>
    </row>
    <row r="132" spans="1:24">
      <c r="A132" s="21">
        <v>572</v>
      </c>
      <c r="B132" s="21" t="s">
        <v>123</v>
      </c>
      <c r="C132" s="534">
        <v>0</v>
      </c>
      <c r="D132" s="534">
        <v>0</v>
      </c>
      <c r="E132" s="534">
        <v>0</v>
      </c>
      <c r="F132" s="534">
        <v>0</v>
      </c>
      <c r="G132" s="534">
        <v>0</v>
      </c>
      <c r="H132" s="534">
        <v>0</v>
      </c>
      <c r="I132" s="534">
        <v>1</v>
      </c>
      <c r="J132" s="534">
        <v>0</v>
      </c>
      <c r="K132" s="534">
        <v>1</v>
      </c>
      <c r="L132" s="534">
        <v>0</v>
      </c>
      <c r="M132" s="534">
        <v>0</v>
      </c>
      <c r="N132">
        <v>0</v>
      </c>
      <c r="O132">
        <v>0</v>
      </c>
      <c r="P132">
        <v>0</v>
      </c>
      <c r="Q132">
        <v>3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</row>
    <row r="133" spans="1:24">
      <c r="A133" s="21">
        <v>580</v>
      </c>
      <c r="B133" s="21" t="s">
        <v>124</v>
      </c>
      <c r="C133" s="534">
        <v>0</v>
      </c>
      <c r="D133" s="534">
        <v>0</v>
      </c>
      <c r="E133" s="534">
        <v>0</v>
      </c>
      <c r="F133" s="534">
        <v>0</v>
      </c>
      <c r="G133" s="534">
        <v>0</v>
      </c>
      <c r="H133" s="534">
        <v>0</v>
      </c>
      <c r="I133" s="534">
        <v>0</v>
      </c>
      <c r="J133" s="534">
        <v>0</v>
      </c>
      <c r="K133" s="534">
        <v>0</v>
      </c>
      <c r="L133" s="534">
        <v>0</v>
      </c>
      <c r="M133" s="534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</row>
    <row r="134" spans="1:24">
      <c r="A134" s="21">
        <v>581</v>
      </c>
      <c r="B134" s="21" t="s">
        <v>125</v>
      </c>
      <c r="C134" s="534">
        <v>0</v>
      </c>
      <c r="D134" s="534">
        <v>0</v>
      </c>
      <c r="E134" s="534">
        <v>0</v>
      </c>
      <c r="F134" s="534">
        <v>0</v>
      </c>
      <c r="G134" s="534">
        <v>0</v>
      </c>
      <c r="H134" s="534">
        <v>0</v>
      </c>
      <c r="I134" s="534">
        <v>0</v>
      </c>
      <c r="J134" s="534">
        <v>0</v>
      </c>
      <c r="K134" s="534">
        <v>0</v>
      </c>
      <c r="L134" s="534">
        <v>1</v>
      </c>
      <c r="M134" s="5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</row>
    <row r="135" spans="1:24">
      <c r="A135" s="21">
        <v>590</v>
      </c>
      <c r="B135" s="21" t="s">
        <v>126</v>
      </c>
      <c r="C135" s="534">
        <v>0</v>
      </c>
      <c r="D135" s="534">
        <v>0</v>
      </c>
      <c r="E135" s="534">
        <v>0</v>
      </c>
      <c r="F135" s="534">
        <v>0</v>
      </c>
      <c r="G135" s="534">
        <v>0</v>
      </c>
      <c r="H135" s="534">
        <v>0</v>
      </c>
      <c r="I135" s="534">
        <v>0</v>
      </c>
      <c r="J135" s="534">
        <v>0</v>
      </c>
      <c r="K135" s="534">
        <v>0</v>
      </c>
      <c r="L135" s="534">
        <v>0</v>
      </c>
      <c r="M135" s="534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</row>
    <row r="136" spans="1:24">
      <c r="A136" s="21">
        <v>591</v>
      </c>
      <c r="B136" s="21" t="s">
        <v>127</v>
      </c>
      <c r="C136" s="534">
        <v>0</v>
      </c>
      <c r="D136" s="534">
        <v>0</v>
      </c>
      <c r="E136" s="534">
        <v>0</v>
      </c>
      <c r="F136" s="534">
        <v>0</v>
      </c>
      <c r="G136" s="534">
        <v>0</v>
      </c>
      <c r="H136" s="534">
        <v>0</v>
      </c>
      <c r="I136" s="534">
        <v>0</v>
      </c>
      <c r="J136" s="534">
        <v>0</v>
      </c>
      <c r="K136" s="534">
        <v>0</v>
      </c>
      <c r="L136" s="534">
        <v>0</v>
      </c>
      <c r="M136" s="534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</row>
    <row r="137" spans="1:24">
      <c r="A137" s="21">
        <v>600</v>
      </c>
      <c r="B137" s="21" t="s">
        <v>128</v>
      </c>
      <c r="C137" s="534">
        <v>4</v>
      </c>
      <c r="D137" s="534">
        <v>3</v>
      </c>
      <c r="E137" s="534">
        <v>0</v>
      </c>
      <c r="F137" s="534">
        <v>0</v>
      </c>
      <c r="G137" s="534">
        <v>4</v>
      </c>
      <c r="H137" s="534">
        <v>0</v>
      </c>
      <c r="I137" s="534">
        <v>0</v>
      </c>
      <c r="J137" s="534">
        <v>3</v>
      </c>
      <c r="K137" s="534">
        <v>0</v>
      </c>
      <c r="L137" s="534">
        <v>0</v>
      </c>
      <c r="M137" s="534">
        <v>3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3</v>
      </c>
      <c r="X137">
        <v>0</v>
      </c>
    </row>
    <row r="138" spans="1:24">
      <c r="A138" s="21">
        <v>615</v>
      </c>
      <c r="B138" s="21" t="s">
        <v>129</v>
      </c>
      <c r="C138" s="534">
        <v>1</v>
      </c>
      <c r="D138" s="534">
        <v>0</v>
      </c>
      <c r="E138" s="534">
        <v>0</v>
      </c>
      <c r="F138" s="534">
        <v>0</v>
      </c>
      <c r="G138" s="534">
        <v>4</v>
      </c>
      <c r="H138" s="534">
        <v>0</v>
      </c>
      <c r="I138" s="534">
        <v>0</v>
      </c>
      <c r="J138" s="534">
        <v>0</v>
      </c>
      <c r="K138" s="534">
        <v>0</v>
      </c>
      <c r="L138" s="534">
        <v>0</v>
      </c>
      <c r="M138" s="534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</row>
    <row r="139" spans="1:24">
      <c r="A139" s="21">
        <v>616</v>
      </c>
      <c r="B139" s="21" t="s">
        <v>130</v>
      </c>
      <c r="C139" s="534">
        <v>3</v>
      </c>
      <c r="D139" s="534">
        <v>0</v>
      </c>
      <c r="E139" s="534">
        <v>0</v>
      </c>
      <c r="F139" s="534">
        <v>0</v>
      </c>
      <c r="G139" s="534">
        <v>0</v>
      </c>
      <c r="H139" s="534">
        <v>3</v>
      </c>
      <c r="I139" s="534">
        <v>0</v>
      </c>
      <c r="J139" s="534">
        <v>0</v>
      </c>
      <c r="K139" s="534">
        <v>0</v>
      </c>
      <c r="L139" s="534">
        <v>0</v>
      </c>
      <c r="M139" s="534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</row>
    <row r="140" spans="1:24">
      <c r="A140" s="21">
        <v>620</v>
      </c>
      <c r="B140" s="21" t="s">
        <v>131</v>
      </c>
      <c r="C140" s="534">
        <v>4</v>
      </c>
      <c r="D140" s="534">
        <v>4</v>
      </c>
      <c r="E140" s="534">
        <v>1</v>
      </c>
      <c r="F140" s="534">
        <v>4</v>
      </c>
      <c r="G140" s="534">
        <v>4</v>
      </c>
      <c r="H140" s="534">
        <v>3</v>
      </c>
      <c r="I140" s="534">
        <v>4</v>
      </c>
      <c r="J140" s="534">
        <v>4</v>
      </c>
      <c r="K140" s="534">
        <v>3</v>
      </c>
      <c r="L140" s="534">
        <v>3</v>
      </c>
      <c r="M140" s="534">
        <v>0</v>
      </c>
      <c r="N140">
        <v>0</v>
      </c>
      <c r="O140">
        <v>0</v>
      </c>
      <c r="P140">
        <v>0</v>
      </c>
      <c r="Q140">
        <v>3</v>
      </c>
      <c r="R140">
        <v>0</v>
      </c>
      <c r="S140">
        <v>2</v>
      </c>
      <c r="T140">
        <v>0</v>
      </c>
      <c r="U140">
        <v>0</v>
      </c>
      <c r="V140">
        <v>0</v>
      </c>
      <c r="W140">
        <v>0</v>
      </c>
      <c r="X140">
        <v>0</v>
      </c>
    </row>
    <row r="141" spans="1:24">
      <c r="A141" s="21">
        <v>625</v>
      </c>
      <c r="B141" s="21" t="s">
        <v>132</v>
      </c>
      <c r="C141" s="534">
        <v>0</v>
      </c>
      <c r="D141" s="534">
        <v>4</v>
      </c>
      <c r="E141" s="534">
        <v>0</v>
      </c>
      <c r="F141" s="534">
        <v>3</v>
      </c>
      <c r="G141" s="534">
        <v>1</v>
      </c>
      <c r="H141" s="534">
        <v>0</v>
      </c>
      <c r="I141" s="534">
        <v>1</v>
      </c>
      <c r="J141" s="534">
        <v>4</v>
      </c>
      <c r="K141" s="534">
        <v>0</v>
      </c>
      <c r="L141" s="534">
        <v>4</v>
      </c>
      <c r="M141" s="534">
        <v>4</v>
      </c>
      <c r="N141">
        <v>3</v>
      </c>
      <c r="O141">
        <v>0</v>
      </c>
      <c r="P141">
        <v>4</v>
      </c>
      <c r="Q141">
        <v>4</v>
      </c>
      <c r="R141">
        <v>4</v>
      </c>
      <c r="S141">
        <v>4</v>
      </c>
      <c r="T141">
        <v>4</v>
      </c>
      <c r="U141">
        <v>4</v>
      </c>
      <c r="V141">
        <v>0</v>
      </c>
      <c r="W141">
        <v>0</v>
      </c>
      <c r="X141">
        <v>3</v>
      </c>
    </row>
    <row r="142" spans="1:24">
      <c r="A142" s="21">
        <v>630</v>
      </c>
      <c r="B142" s="21" t="s">
        <v>133</v>
      </c>
      <c r="C142" s="534">
        <v>5</v>
      </c>
      <c r="D142" s="534">
        <v>5</v>
      </c>
      <c r="E142" s="534">
        <v>5</v>
      </c>
      <c r="F142" s="534">
        <v>5</v>
      </c>
      <c r="G142" s="534">
        <v>5</v>
      </c>
      <c r="H142" s="534">
        <v>5</v>
      </c>
      <c r="I142" s="534">
        <v>5</v>
      </c>
      <c r="J142" s="534">
        <v>5</v>
      </c>
      <c r="K142" s="534">
        <v>5</v>
      </c>
      <c r="L142" s="534">
        <v>4</v>
      </c>
      <c r="M142" s="534">
        <v>0</v>
      </c>
      <c r="N142">
        <v>4</v>
      </c>
      <c r="O142">
        <v>4</v>
      </c>
      <c r="P142">
        <v>4</v>
      </c>
      <c r="Q142">
        <v>4</v>
      </c>
      <c r="R142">
        <v>3</v>
      </c>
      <c r="S142">
        <v>4</v>
      </c>
      <c r="T142">
        <v>4</v>
      </c>
      <c r="U142">
        <v>4</v>
      </c>
      <c r="V142">
        <v>4</v>
      </c>
      <c r="W142">
        <v>0</v>
      </c>
      <c r="X142">
        <v>3</v>
      </c>
    </row>
    <row r="143" spans="1:24">
      <c r="A143" s="21">
        <v>640</v>
      </c>
      <c r="B143" s="21" t="s">
        <v>134</v>
      </c>
      <c r="C143" s="534">
        <v>0</v>
      </c>
      <c r="D143" s="534">
        <v>4</v>
      </c>
      <c r="E143" s="534">
        <v>4</v>
      </c>
      <c r="F143" s="534">
        <v>4</v>
      </c>
      <c r="G143" s="534">
        <v>4</v>
      </c>
      <c r="H143" s="534">
        <v>2</v>
      </c>
      <c r="I143" s="534">
        <v>4</v>
      </c>
      <c r="J143" s="534">
        <v>4</v>
      </c>
      <c r="K143" s="534">
        <v>4</v>
      </c>
      <c r="L143" s="534">
        <v>3</v>
      </c>
      <c r="M143" s="534">
        <v>3</v>
      </c>
      <c r="N143">
        <v>4</v>
      </c>
      <c r="O143">
        <v>3</v>
      </c>
      <c r="P143">
        <v>4</v>
      </c>
      <c r="Q143">
        <v>4</v>
      </c>
      <c r="R143">
        <v>4</v>
      </c>
      <c r="S143">
        <v>4</v>
      </c>
      <c r="T143">
        <v>4</v>
      </c>
      <c r="U143">
        <v>3</v>
      </c>
      <c r="V143">
        <v>4</v>
      </c>
      <c r="W143">
        <v>4</v>
      </c>
      <c r="X143">
        <v>4</v>
      </c>
    </row>
    <row r="144" spans="1:24">
      <c r="A144" s="21">
        <v>645</v>
      </c>
      <c r="B144" s="21" t="s">
        <v>135</v>
      </c>
      <c r="C144" s="534">
        <v>5</v>
      </c>
      <c r="D144" s="534">
        <v>5</v>
      </c>
      <c r="E144" s="534">
        <v>5</v>
      </c>
      <c r="F144" s="534">
        <v>5</v>
      </c>
      <c r="G144" s="534">
        <v>5</v>
      </c>
      <c r="H144" s="534">
        <v>5</v>
      </c>
      <c r="I144" s="534">
        <v>5</v>
      </c>
      <c r="J144" s="534">
        <v>5</v>
      </c>
      <c r="K144" s="534">
        <v>5</v>
      </c>
      <c r="L144" s="534">
        <v>4</v>
      </c>
      <c r="M144" s="534">
        <v>5</v>
      </c>
      <c r="N144">
        <v>4</v>
      </c>
      <c r="O144">
        <v>4</v>
      </c>
      <c r="P144">
        <v>4</v>
      </c>
      <c r="Q144">
        <v>4</v>
      </c>
      <c r="R144">
        <v>4</v>
      </c>
      <c r="S144">
        <v>4</v>
      </c>
      <c r="T144">
        <v>4</v>
      </c>
      <c r="U144">
        <v>0</v>
      </c>
      <c r="V144">
        <v>4</v>
      </c>
      <c r="W144">
        <v>4</v>
      </c>
      <c r="X144">
        <v>4</v>
      </c>
    </row>
    <row r="145" spans="1:24">
      <c r="A145" s="21">
        <v>651</v>
      </c>
      <c r="B145" s="21" t="s">
        <v>136</v>
      </c>
      <c r="C145" s="534">
        <v>3</v>
      </c>
      <c r="D145" s="534">
        <v>3</v>
      </c>
      <c r="E145" s="534">
        <v>0</v>
      </c>
      <c r="F145" s="534">
        <v>4</v>
      </c>
      <c r="G145" s="534">
        <v>4</v>
      </c>
      <c r="H145" s="534">
        <v>4</v>
      </c>
      <c r="I145" s="534">
        <v>0</v>
      </c>
      <c r="J145" s="534">
        <v>0</v>
      </c>
      <c r="K145" s="534">
        <v>0</v>
      </c>
      <c r="L145" s="534">
        <v>4</v>
      </c>
      <c r="M145" s="534">
        <v>5</v>
      </c>
      <c r="N145">
        <v>3</v>
      </c>
      <c r="O145">
        <v>0</v>
      </c>
      <c r="P145">
        <v>4</v>
      </c>
      <c r="Q145">
        <v>4</v>
      </c>
      <c r="R145">
        <v>4</v>
      </c>
      <c r="S145">
        <v>4</v>
      </c>
      <c r="T145">
        <v>0</v>
      </c>
      <c r="U145">
        <v>0</v>
      </c>
      <c r="V145">
        <v>0</v>
      </c>
      <c r="W145">
        <v>0</v>
      </c>
      <c r="X145">
        <v>0</v>
      </c>
    </row>
    <row r="146" spans="1:24">
      <c r="A146" s="21">
        <v>652</v>
      </c>
      <c r="B146" s="21" t="s">
        <v>137</v>
      </c>
      <c r="C146" s="534">
        <v>4</v>
      </c>
      <c r="D146" s="534">
        <v>4</v>
      </c>
      <c r="E146" s="534">
        <v>5</v>
      </c>
      <c r="F146" s="534">
        <v>4</v>
      </c>
      <c r="G146" s="534">
        <v>4</v>
      </c>
      <c r="H146" s="534">
        <v>4</v>
      </c>
      <c r="I146" s="534">
        <v>4</v>
      </c>
      <c r="J146" s="534">
        <v>3</v>
      </c>
      <c r="K146" s="534">
        <v>0</v>
      </c>
      <c r="L146" s="534">
        <v>4</v>
      </c>
      <c r="M146" s="534">
        <v>5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</v>
      </c>
      <c r="T146">
        <v>3</v>
      </c>
      <c r="U146">
        <v>3</v>
      </c>
      <c r="V146">
        <v>0</v>
      </c>
      <c r="W146">
        <v>0</v>
      </c>
      <c r="X146">
        <v>0</v>
      </c>
    </row>
    <row r="147" spans="1:24">
      <c r="A147" s="21">
        <v>660</v>
      </c>
      <c r="B147" s="21" t="s">
        <v>138</v>
      </c>
      <c r="C147" s="534">
        <v>4</v>
      </c>
      <c r="D147" s="534">
        <v>4</v>
      </c>
      <c r="E147" s="534">
        <v>5</v>
      </c>
      <c r="F147" s="534">
        <v>5</v>
      </c>
      <c r="G147" s="534">
        <v>5</v>
      </c>
      <c r="H147" s="534">
        <v>5</v>
      </c>
      <c r="I147" s="534">
        <v>0</v>
      </c>
      <c r="J147" s="534">
        <v>0</v>
      </c>
      <c r="K147" s="534">
        <v>0</v>
      </c>
      <c r="L147" s="534">
        <v>1</v>
      </c>
      <c r="M147" s="534">
        <v>1</v>
      </c>
      <c r="N147">
        <v>0</v>
      </c>
      <c r="O147">
        <v>0</v>
      </c>
      <c r="P147">
        <v>4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</row>
    <row r="148" spans="1:24">
      <c r="A148" s="21">
        <v>663</v>
      </c>
      <c r="B148" s="21" t="s">
        <v>139</v>
      </c>
      <c r="C148" s="534">
        <v>3</v>
      </c>
      <c r="D148" s="534">
        <v>3</v>
      </c>
      <c r="E148" s="534">
        <v>1</v>
      </c>
      <c r="F148" s="534">
        <v>0</v>
      </c>
      <c r="G148" s="534">
        <v>0</v>
      </c>
      <c r="H148" s="534">
        <v>0</v>
      </c>
      <c r="I148" s="534">
        <v>0</v>
      </c>
      <c r="J148" s="534">
        <v>0</v>
      </c>
      <c r="K148" s="534">
        <v>0</v>
      </c>
      <c r="L148" s="534">
        <v>0</v>
      </c>
      <c r="M148" s="534">
        <v>4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3</v>
      </c>
      <c r="X148">
        <v>0</v>
      </c>
    </row>
    <row r="149" spans="1:24">
      <c r="A149" s="21">
        <v>666</v>
      </c>
      <c r="B149" s="21" t="s">
        <v>140</v>
      </c>
      <c r="C149" s="534">
        <v>4</v>
      </c>
      <c r="D149" s="534">
        <v>4</v>
      </c>
      <c r="E149" s="534">
        <v>5</v>
      </c>
      <c r="F149" s="534">
        <v>5</v>
      </c>
      <c r="G149" s="534">
        <v>5</v>
      </c>
      <c r="H149" s="534">
        <v>5</v>
      </c>
      <c r="I149" s="534">
        <v>4</v>
      </c>
      <c r="J149" s="534">
        <v>4</v>
      </c>
      <c r="K149" s="534">
        <v>0</v>
      </c>
      <c r="L149" s="534">
        <v>1</v>
      </c>
      <c r="M149" s="534">
        <v>4</v>
      </c>
      <c r="N149">
        <v>3</v>
      </c>
      <c r="O149">
        <v>0</v>
      </c>
      <c r="P149">
        <v>4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</row>
    <row r="150" spans="1:24">
      <c r="A150" s="21">
        <v>670</v>
      </c>
      <c r="B150" s="21" t="s">
        <v>141</v>
      </c>
      <c r="C150" s="534">
        <v>4</v>
      </c>
      <c r="D150" s="534">
        <v>3</v>
      </c>
      <c r="E150" s="534">
        <v>0</v>
      </c>
      <c r="F150" s="534">
        <v>4</v>
      </c>
      <c r="G150" s="534">
        <v>4</v>
      </c>
      <c r="H150" s="534">
        <v>1</v>
      </c>
      <c r="I150" s="534">
        <v>1</v>
      </c>
      <c r="J150" s="534">
        <v>3</v>
      </c>
      <c r="K150" s="534">
        <v>3</v>
      </c>
      <c r="L150" s="534">
        <v>0</v>
      </c>
      <c r="M150" s="534">
        <v>5</v>
      </c>
      <c r="N150">
        <v>0</v>
      </c>
      <c r="O150">
        <v>4</v>
      </c>
      <c r="P150">
        <v>0</v>
      </c>
      <c r="Q150">
        <v>4</v>
      </c>
      <c r="R150">
        <v>3</v>
      </c>
      <c r="S150">
        <v>0</v>
      </c>
      <c r="T150">
        <v>4</v>
      </c>
      <c r="U150">
        <v>0</v>
      </c>
      <c r="V150">
        <v>0</v>
      </c>
      <c r="W150">
        <v>0</v>
      </c>
      <c r="X150">
        <v>0</v>
      </c>
    </row>
    <row r="151" spans="1:24">
      <c r="A151" s="21">
        <v>679</v>
      </c>
      <c r="B151" s="21" t="s">
        <v>142</v>
      </c>
      <c r="C151" s="534">
        <v>0</v>
      </c>
      <c r="D151" s="534">
        <v>0</v>
      </c>
      <c r="E151" s="534">
        <v>0</v>
      </c>
      <c r="F151" s="534">
        <v>0</v>
      </c>
      <c r="G151" s="534">
        <v>0</v>
      </c>
      <c r="H151" s="534">
        <v>0</v>
      </c>
      <c r="I151" s="534">
        <v>0</v>
      </c>
      <c r="J151" s="534">
        <v>0</v>
      </c>
      <c r="K151" s="534">
        <v>0</v>
      </c>
      <c r="L151" s="534">
        <v>0</v>
      </c>
      <c r="M151" s="534">
        <v>0</v>
      </c>
      <c r="N151">
        <v>0</v>
      </c>
      <c r="O151">
        <v>0</v>
      </c>
      <c r="P151">
        <v>0</v>
      </c>
      <c r="Q151">
        <v>4</v>
      </c>
      <c r="R151">
        <v>4</v>
      </c>
      <c r="S151">
        <v>0</v>
      </c>
      <c r="T151">
        <v>4</v>
      </c>
      <c r="U151">
        <v>0</v>
      </c>
      <c r="V151">
        <v>4</v>
      </c>
      <c r="W151">
        <v>0</v>
      </c>
      <c r="X151">
        <v>0</v>
      </c>
    </row>
    <row r="152" spans="1:24">
      <c r="A152" s="21">
        <v>690</v>
      </c>
      <c r="B152" s="21" t="s">
        <v>143</v>
      </c>
      <c r="C152" s="534">
        <v>1</v>
      </c>
      <c r="D152" s="534">
        <v>1</v>
      </c>
      <c r="E152" s="534">
        <v>1</v>
      </c>
      <c r="F152" s="534">
        <v>0</v>
      </c>
      <c r="G152" s="534">
        <v>2</v>
      </c>
      <c r="H152" s="534">
        <v>1</v>
      </c>
      <c r="I152" s="534">
        <v>1</v>
      </c>
      <c r="J152" s="534">
        <v>1</v>
      </c>
      <c r="K152" s="534">
        <v>1</v>
      </c>
      <c r="L152" s="534">
        <v>0</v>
      </c>
      <c r="M152" s="534">
        <v>4</v>
      </c>
      <c r="N152">
        <v>4</v>
      </c>
      <c r="O152">
        <v>4</v>
      </c>
      <c r="P152">
        <v>0</v>
      </c>
      <c r="Q152">
        <v>3</v>
      </c>
      <c r="R152">
        <v>0</v>
      </c>
      <c r="S152">
        <v>4</v>
      </c>
      <c r="T152">
        <v>0</v>
      </c>
      <c r="U152">
        <v>0</v>
      </c>
      <c r="V152">
        <v>3</v>
      </c>
      <c r="W152">
        <v>3</v>
      </c>
      <c r="X152">
        <v>0</v>
      </c>
    </row>
    <row r="153" spans="1:24">
      <c r="A153" s="21">
        <v>692</v>
      </c>
      <c r="B153" s="21" t="s">
        <v>144</v>
      </c>
      <c r="C153" s="534">
        <v>0</v>
      </c>
      <c r="D153" s="534">
        <v>0</v>
      </c>
      <c r="E153" s="534">
        <v>0</v>
      </c>
      <c r="F153" s="534">
        <v>0</v>
      </c>
      <c r="G153" s="534">
        <v>1</v>
      </c>
      <c r="H153" s="534">
        <v>0</v>
      </c>
      <c r="I153" s="534">
        <v>1</v>
      </c>
      <c r="J153" s="534">
        <v>0</v>
      </c>
      <c r="K153" s="534">
        <v>1</v>
      </c>
      <c r="L153" s="534">
        <v>0</v>
      </c>
      <c r="M153" s="534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</row>
    <row r="154" spans="1:24">
      <c r="A154" s="21">
        <v>694</v>
      </c>
      <c r="B154" s="21" t="s">
        <v>145</v>
      </c>
      <c r="C154" s="534">
        <v>0</v>
      </c>
      <c r="D154" s="534">
        <v>0</v>
      </c>
      <c r="E154" s="534">
        <v>0</v>
      </c>
      <c r="F154" s="534">
        <v>0</v>
      </c>
      <c r="G154" s="534">
        <v>1</v>
      </c>
      <c r="H154" s="534">
        <v>0</v>
      </c>
      <c r="I154" s="534">
        <v>4</v>
      </c>
      <c r="J154" s="534">
        <v>1</v>
      </c>
      <c r="K154" s="534">
        <v>0</v>
      </c>
      <c r="L154" s="534">
        <v>0</v>
      </c>
      <c r="M154" s="534">
        <v>0</v>
      </c>
      <c r="N154">
        <v>0</v>
      </c>
      <c r="O154">
        <v>4</v>
      </c>
      <c r="P154">
        <v>0</v>
      </c>
      <c r="Q154">
        <v>0</v>
      </c>
      <c r="R154">
        <v>3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</row>
    <row r="155" spans="1:24">
      <c r="A155" s="21">
        <v>696</v>
      </c>
      <c r="B155" s="21" t="s">
        <v>146</v>
      </c>
      <c r="C155" s="534">
        <v>0</v>
      </c>
      <c r="D155" s="534">
        <v>0</v>
      </c>
      <c r="E155" s="534">
        <v>0</v>
      </c>
      <c r="F155" s="534">
        <v>0</v>
      </c>
      <c r="G155" s="534">
        <v>1</v>
      </c>
      <c r="H155" s="534">
        <v>0</v>
      </c>
      <c r="I155" s="534">
        <v>1</v>
      </c>
      <c r="J155" s="534">
        <v>1</v>
      </c>
      <c r="K155" s="534">
        <v>1</v>
      </c>
      <c r="L155" s="534">
        <v>0</v>
      </c>
      <c r="M155" s="534">
        <v>4</v>
      </c>
      <c r="N155">
        <v>0</v>
      </c>
      <c r="O155">
        <v>3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3</v>
      </c>
      <c r="X155">
        <v>0</v>
      </c>
    </row>
    <row r="156" spans="1:24">
      <c r="A156" s="21">
        <v>698</v>
      </c>
      <c r="B156" s="21" t="s">
        <v>147</v>
      </c>
      <c r="C156" s="534">
        <v>1</v>
      </c>
      <c r="D156" s="534">
        <v>3</v>
      </c>
      <c r="E156" s="534">
        <v>3</v>
      </c>
      <c r="F156" s="534">
        <v>0</v>
      </c>
      <c r="G156" s="534">
        <v>1</v>
      </c>
      <c r="H156" s="534">
        <v>0</v>
      </c>
      <c r="I156" s="534">
        <v>0</v>
      </c>
      <c r="J156" s="534">
        <v>4</v>
      </c>
      <c r="K156" s="534">
        <v>0</v>
      </c>
      <c r="L156" s="534">
        <v>0</v>
      </c>
      <c r="M156" s="534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</row>
    <row r="157" spans="1:24">
      <c r="A157" s="21">
        <v>700</v>
      </c>
      <c r="B157" s="21" t="s">
        <v>148</v>
      </c>
      <c r="C157" s="534">
        <v>4</v>
      </c>
      <c r="D157" s="534">
        <v>4</v>
      </c>
      <c r="E157" s="534">
        <v>4</v>
      </c>
      <c r="F157" s="534">
        <v>4</v>
      </c>
      <c r="G157" s="534">
        <v>4</v>
      </c>
      <c r="H157" s="534">
        <v>4</v>
      </c>
      <c r="I157" s="534">
        <v>4</v>
      </c>
      <c r="J157" s="534">
        <v>4</v>
      </c>
      <c r="K157" s="534">
        <v>0</v>
      </c>
      <c r="L157" s="534">
        <v>4</v>
      </c>
      <c r="M157" s="534">
        <v>0</v>
      </c>
      <c r="N157">
        <v>0</v>
      </c>
      <c r="O157">
        <v>0</v>
      </c>
      <c r="P157">
        <v>4</v>
      </c>
      <c r="Q157">
        <v>4</v>
      </c>
      <c r="R157">
        <v>3</v>
      </c>
      <c r="S157">
        <v>0</v>
      </c>
      <c r="T157">
        <v>3</v>
      </c>
      <c r="U157">
        <v>4</v>
      </c>
      <c r="V157">
        <v>4</v>
      </c>
      <c r="W157">
        <v>0</v>
      </c>
      <c r="X157">
        <v>5</v>
      </c>
    </row>
    <row r="158" spans="1:24">
      <c r="A158" s="21">
        <v>701</v>
      </c>
      <c r="B158" s="21" t="s">
        <v>149</v>
      </c>
      <c r="C158" s="534">
        <v>0</v>
      </c>
      <c r="D158" s="534">
        <v>0</v>
      </c>
      <c r="E158" s="534">
        <v>0</v>
      </c>
      <c r="F158" s="534">
        <v>0</v>
      </c>
      <c r="G158" s="534">
        <v>0</v>
      </c>
      <c r="H158" s="534">
        <v>0</v>
      </c>
      <c r="I158" s="534">
        <v>0</v>
      </c>
      <c r="J158" s="534">
        <v>0</v>
      </c>
      <c r="K158" s="534">
        <v>0</v>
      </c>
      <c r="L158" s="534">
        <v>0</v>
      </c>
      <c r="M158" s="534">
        <v>0</v>
      </c>
      <c r="N158">
        <v>0</v>
      </c>
      <c r="O158">
        <v>0</v>
      </c>
      <c r="P158">
        <v>3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1:24">
      <c r="A159" s="21">
        <v>702</v>
      </c>
      <c r="B159" s="21" t="s">
        <v>150</v>
      </c>
      <c r="C159" s="534">
        <v>0</v>
      </c>
      <c r="D159" s="534">
        <v>0</v>
      </c>
      <c r="E159" s="534">
        <v>0</v>
      </c>
      <c r="F159" s="534">
        <v>0</v>
      </c>
      <c r="G159" s="534">
        <v>0</v>
      </c>
      <c r="H159" s="534">
        <v>0</v>
      </c>
      <c r="I159" s="534">
        <v>0</v>
      </c>
      <c r="J159" s="534">
        <v>0</v>
      </c>
      <c r="K159" s="534">
        <v>0</v>
      </c>
      <c r="L159" s="534">
        <v>0</v>
      </c>
      <c r="M159" s="534">
        <v>0</v>
      </c>
      <c r="N159">
        <v>0</v>
      </c>
      <c r="O159">
        <v>0</v>
      </c>
      <c r="P159">
        <v>4</v>
      </c>
      <c r="Q159">
        <v>0</v>
      </c>
      <c r="R159">
        <v>0</v>
      </c>
      <c r="S159">
        <v>0</v>
      </c>
      <c r="T159">
        <v>3</v>
      </c>
      <c r="U159">
        <v>3</v>
      </c>
      <c r="V159">
        <v>0</v>
      </c>
      <c r="W159">
        <v>0</v>
      </c>
      <c r="X159">
        <v>0</v>
      </c>
    </row>
    <row r="160" spans="1:24">
      <c r="A160" s="21">
        <v>703</v>
      </c>
      <c r="B160" s="21" t="s">
        <v>151</v>
      </c>
      <c r="C160" s="534">
        <v>0</v>
      </c>
      <c r="D160" s="534">
        <v>0</v>
      </c>
      <c r="E160" s="534">
        <v>0</v>
      </c>
      <c r="F160" s="534">
        <v>0</v>
      </c>
      <c r="G160" s="534">
        <v>0</v>
      </c>
      <c r="H160" s="534">
        <v>0</v>
      </c>
      <c r="I160" s="534">
        <v>0</v>
      </c>
      <c r="J160" s="534">
        <v>0</v>
      </c>
      <c r="K160" s="534">
        <v>0</v>
      </c>
      <c r="L160" s="534">
        <v>0</v>
      </c>
      <c r="M160" s="534">
        <v>0</v>
      </c>
      <c r="N160">
        <v>0</v>
      </c>
      <c r="O160">
        <v>0</v>
      </c>
      <c r="P160">
        <v>3</v>
      </c>
      <c r="Q160">
        <v>0</v>
      </c>
      <c r="R160">
        <v>0</v>
      </c>
      <c r="S160">
        <v>0</v>
      </c>
      <c r="T160">
        <v>3</v>
      </c>
      <c r="U160">
        <v>0</v>
      </c>
      <c r="V160">
        <v>0</v>
      </c>
      <c r="W160">
        <v>0</v>
      </c>
      <c r="X160">
        <v>0</v>
      </c>
    </row>
    <row r="161" spans="1:24">
      <c r="A161" s="21">
        <v>704</v>
      </c>
      <c r="B161" s="21" t="s">
        <v>152</v>
      </c>
      <c r="C161" s="534">
        <v>0</v>
      </c>
      <c r="D161" s="534">
        <v>0</v>
      </c>
      <c r="E161" s="534">
        <v>0</v>
      </c>
      <c r="F161" s="534">
        <v>0</v>
      </c>
      <c r="G161" s="534">
        <v>0</v>
      </c>
      <c r="H161" s="534">
        <v>0</v>
      </c>
      <c r="I161" s="534">
        <v>0</v>
      </c>
      <c r="J161" s="534">
        <v>0</v>
      </c>
      <c r="K161" s="534">
        <v>0</v>
      </c>
      <c r="L161" s="534">
        <v>0</v>
      </c>
      <c r="M161" s="534">
        <v>0</v>
      </c>
      <c r="N161">
        <v>0</v>
      </c>
      <c r="O161">
        <v>0</v>
      </c>
      <c r="P161">
        <v>3</v>
      </c>
      <c r="Q161">
        <v>0</v>
      </c>
      <c r="R161">
        <v>0</v>
      </c>
      <c r="S161">
        <v>0</v>
      </c>
      <c r="T161">
        <v>3</v>
      </c>
      <c r="U161">
        <v>0</v>
      </c>
      <c r="V161">
        <v>4</v>
      </c>
      <c r="W161">
        <v>0</v>
      </c>
      <c r="X161">
        <v>0</v>
      </c>
    </row>
    <row r="162" spans="1:24">
      <c r="A162" s="21">
        <v>705</v>
      </c>
      <c r="B162" s="21" t="s">
        <v>153</v>
      </c>
      <c r="C162" s="534">
        <v>0</v>
      </c>
      <c r="D162" s="534">
        <v>0</v>
      </c>
      <c r="E162" s="534">
        <v>0</v>
      </c>
      <c r="F162" s="534">
        <v>0</v>
      </c>
      <c r="G162" s="534">
        <v>0</v>
      </c>
      <c r="H162" s="534">
        <v>0</v>
      </c>
      <c r="I162" s="534">
        <v>0</v>
      </c>
      <c r="J162" s="534">
        <v>0</v>
      </c>
      <c r="K162" s="534">
        <v>0</v>
      </c>
      <c r="L162" s="534">
        <v>0</v>
      </c>
      <c r="M162" s="534">
        <v>0</v>
      </c>
      <c r="N162">
        <v>0</v>
      </c>
      <c r="O162">
        <v>0</v>
      </c>
      <c r="P162">
        <v>3</v>
      </c>
      <c r="Q162">
        <v>0</v>
      </c>
      <c r="R162">
        <v>0</v>
      </c>
      <c r="S162">
        <v>4</v>
      </c>
      <c r="T162">
        <v>0</v>
      </c>
      <c r="U162">
        <v>0</v>
      </c>
      <c r="V162">
        <v>0</v>
      </c>
      <c r="W162">
        <v>0</v>
      </c>
      <c r="X162">
        <v>0</v>
      </c>
    </row>
    <row r="163" spans="1:24">
      <c r="A163" s="21">
        <v>710</v>
      </c>
      <c r="B163" s="21" t="s">
        <v>154</v>
      </c>
      <c r="C163" s="534">
        <v>4</v>
      </c>
      <c r="D163" s="534">
        <v>4</v>
      </c>
      <c r="E163" s="534">
        <v>1</v>
      </c>
      <c r="F163" s="534">
        <v>4</v>
      </c>
      <c r="G163" s="534">
        <v>4</v>
      </c>
      <c r="H163" s="534">
        <v>4</v>
      </c>
      <c r="I163" s="534">
        <v>5</v>
      </c>
      <c r="J163" s="534">
        <v>5</v>
      </c>
      <c r="K163" s="534">
        <v>4</v>
      </c>
      <c r="L163" s="534">
        <v>0</v>
      </c>
      <c r="M163" s="534">
        <v>0</v>
      </c>
      <c r="N163">
        <v>3</v>
      </c>
      <c r="O163">
        <v>0</v>
      </c>
      <c r="P163">
        <v>4</v>
      </c>
      <c r="Q163">
        <v>4</v>
      </c>
      <c r="R163">
        <v>4</v>
      </c>
      <c r="S163">
        <v>4</v>
      </c>
      <c r="T163">
        <v>4</v>
      </c>
      <c r="U163">
        <v>4</v>
      </c>
      <c r="V163">
        <v>4</v>
      </c>
      <c r="W163">
        <v>0</v>
      </c>
      <c r="X163">
        <v>4</v>
      </c>
    </row>
    <row r="164" spans="1:24">
      <c r="A164" s="21">
        <v>712</v>
      </c>
      <c r="B164" s="21" t="s">
        <v>155</v>
      </c>
      <c r="C164" s="534">
        <v>0</v>
      </c>
      <c r="D164" s="534">
        <v>0</v>
      </c>
      <c r="E164" s="534">
        <v>0</v>
      </c>
      <c r="F164" s="534">
        <v>0</v>
      </c>
      <c r="G164" s="534">
        <v>0</v>
      </c>
      <c r="H164" s="534">
        <v>0</v>
      </c>
      <c r="I164" s="534">
        <v>0</v>
      </c>
      <c r="J164" s="534">
        <v>0</v>
      </c>
      <c r="K164" s="534">
        <v>0</v>
      </c>
      <c r="L164" s="534">
        <v>0</v>
      </c>
      <c r="M164" s="53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4</v>
      </c>
      <c r="W164">
        <v>0</v>
      </c>
      <c r="X164">
        <v>0</v>
      </c>
    </row>
    <row r="165" spans="1:24">
      <c r="A165" s="21">
        <v>713</v>
      </c>
      <c r="B165" s="21" t="s">
        <v>156</v>
      </c>
      <c r="C165" s="534">
        <v>0</v>
      </c>
      <c r="D165" s="534">
        <v>0</v>
      </c>
      <c r="E165" s="534">
        <v>0</v>
      </c>
      <c r="F165" s="534">
        <v>0</v>
      </c>
      <c r="G165" s="534">
        <v>0</v>
      </c>
      <c r="H165" s="534">
        <v>0</v>
      </c>
      <c r="I165" s="534">
        <v>1</v>
      </c>
      <c r="J165" s="534">
        <v>4</v>
      </c>
      <c r="K165" s="534">
        <v>4</v>
      </c>
      <c r="L165" s="534">
        <v>0</v>
      </c>
      <c r="M165" s="534">
        <v>0</v>
      </c>
      <c r="N165">
        <v>3</v>
      </c>
      <c r="O165">
        <v>0</v>
      </c>
      <c r="P165">
        <v>3</v>
      </c>
      <c r="Q165">
        <v>3</v>
      </c>
      <c r="R165">
        <v>4</v>
      </c>
      <c r="S165">
        <v>3</v>
      </c>
      <c r="T165">
        <v>0</v>
      </c>
      <c r="U165">
        <v>0</v>
      </c>
      <c r="V165">
        <v>3</v>
      </c>
      <c r="W165">
        <v>0</v>
      </c>
      <c r="X165">
        <v>3</v>
      </c>
    </row>
    <row r="166" spans="1:24">
      <c r="A166" s="21">
        <v>731</v>
      </c>
      <c r="B166" s="21" t="s">
        <v>157</v>
      </c>
      <c r="C166" s="534">
        <v>4</v>
      </c>
      <c r="D166" s="534">
        <v>4</v>
      </c>
      <c r="E166" s="534">
        <v>4</v>
      </c>
      <c r="F166" s="534">
        <v>4</v>
      </c>
      <c r="G166" s="534">
        <v>4</v>
      </c>
      <c r="H166" s="534">
        <v>4</v>
      </c>
      <c r="I166" s="534">
        <v>4</v>
      </c>
      <c r="J166" s="534">
        <v>0</v>
      </c>
      <c r="K166" s="534">
        <v>0</v>
      </c>
      <c r="L166" s="534">
        <v>4</v>
      </c>
      <c r="M166" s="534">
        <v>1</v>
      </c>
      <c r="N166">
        <v>3</v>
      </c>
      <c r="O166">
        <v>4</v>
      </c>
      <c r="P166">
        <v>4</v>
      </c>
      <c r="Q166">
        <v>4</v>
      </c>
      <c r="R166">
        <v>4</v>
      </c>
      <c r="S166">
        <v>0</v>
      </c>
      <c r="T166">
        <v>4</v>
      </c>
      <c r="U166">
        <v>0</v>
      </c>
      <c r="V166">
        <v>3</v>
      </c>
      <c r="W166">
        <v>2</v>
      </c>
      <c r="X166">
        <v>4</v>
      </c>
    </row>
    <row r="167" spans="1:24">
      <c r="A167" s="21">
        <v>732</v>
      </c>
      <c r="B167" s="21" t="s">
        <v>158</v>
      </c>
      <c r="C167" s="534">
        <v>4</v>
      </c>
      <c r="D167" s="534">
        <v>4</v>
      </c>
      <c r="E167" s="534">
        <v>4</v>
      </c>
      <c r="F167" s="534">
        <v>4</v>
      </c>
      <c r="G167" s="534">
        <v>4</v>
      </c>
      <c r="H167" s="534">
        <v>4</v>
      </c>
      <c r="I167" s="534">
        <v>4</v>
      </c>
      <c r="J167" s="534">
        <v>4</v>
      </c>
      <c r="K167" s="534">
        <v>0</v>
      </c>
      <c r="L167" s="534">
        <v>1</v>
      </c>
      <c r="M167" s="534">
        <v>0</v>
      </c>
      <c r="N167">
        <v>3</v>
      </c>
      <c r="O167">
        <v>4</v>
      </c>
      <c r="P167">
        <v>3</v>
      </c>
      <c r="Q167">
        <v>4</v>
      </c>
      <c r="R167">
        <v>0</v>
      </c>
      <c r="S167">
        <v>3</v>
      </c>
      <c r="T167">
        <v>0</v>
      </c>
      <c r="U167">
        <v>0</v>
      </c>
      <c r="V167">
        <v>4</v>
      </c>
      <c r="W167">
        <v>2</v>
      </c>
      <c r="X167">
        <v>4</v>
      </c>
    </row>
    <row r="168" spans="1:24">
      <c r="A168" s="21">
        <v>740</v>
      </c>
      <c r="B168" s="21" t="s">
        <v>159</v>
      </c>
      <c r="C168" s="534">
        <v>0</v>
      </c>
      <c r="D168" s="534">
        <v>0</v>
      </c>
      <c r="E168" s="534">
        <v>1</v>
      </c>
      <c r="F168" s="534">
        <v>1</v>
      </c>
      <c r="G168" s="534">
        <v>3</v>
      </c>
      <c r="H168" s="534">
        <v>0</v>
      </c>
      <c r="I168" s="534">
        <v>0</v>
      </c>
      <c r="J168" s="534">
        <v>1</v>
      </c>
      <c r="K168" s="534">
        <v>1</v>
      </c>
      <c r="L168" s="534">
        <v>0</v>
      </c>
      <c r="M168" s="534">
        <v>0</v>
      </c>
      <c r="N168">
        <v>2</v>
      </c>
      <c r="O168">
        <v>0</v>
      </c>
      <c r="P168">
        <v>4</v>
      </c>
      <c r="Q168">
        <v>0</v>
      </c>
      <c r="R168">
        <v>3</v>
      </c>
      <c r="S168">
        <v>4</v>
      </c>
      <c r="T168">
        <v>3</v>
      </c>
      <c r="U168">
        <v>0</v>
      </c>
      <c r="V168">
        <v>4</v>
      </c>
      <c r="W168">
        <v>4</v>
      </c>
      <c r="X168">
        <v>4</v>
      </c>
    </row>
    <row r="169" spans="1:24">
      <c r="A169" s="21">
        <v>750</v>
      </c>
      <c r="B169" s="21" t="s">
        <v>160</v>
      </c>
      <c r="C169" s="534">
        <v>4</v>
      </c>
      <c r="D169" s="534">
        <v>4</v>
      </c>
      <c r="E169" s="534">
        <v>3</v>
      </c>
      <c r="F169" s="534">
        <v>4</v>
      </c>
      <c r="G169" s="534">
        <v>4</v>
      </c>
      <c r="H169" s="534">
        <v>4</v>
      </c>
      <c r="I169" s="534">
        <v>4</v>
      </c>
      <c r="J169" s="534">
        <v>4</v>
      </c>
      <c r="K169" s="534">
        <v>1</v>
      </c>
      <c r="L169" s="534">
        <v>4</v>
      </c>
      <c r="M169" s="534">
        <v>4</v>
      </c>
      <c r="N169">
        <v>4</v>
      </c>
      <c r="O169">
        <v>4</v>
      </c>
      <c r="P169">
        <v>5</v>
      </c>
      <c r="Q169">
        <v>0</v>
      </c>
      <c r="R169">
        <v>4</v>
      </c>
      <c r="S169">
        <v>3</v>
      </c>
      <c r="T169">
        <v>0</v>
      </c>
      <c r="U169">
        <v>0</v>
      </c>
      <c r="V169">
        <v>4</v>
      </c>
      <c r="W169">
        <v>0</v>
      </c>
      <c r="X169">
        <v>4</v>
      </c>
    </row>
    <row r="170" spans="1:24">
      <c r="A170" s="21">
        <v>760</v>
      </c>
      <c r="B170" s="21" t="s">
        <v>161</v>
      </c>
      <c r="C170" s="534">
        <v>0</v>
      </c>
      <c r="D170" s="534">
        <v>0</v>
      </c>
      <c r="E170" s="534">
        <v>0</v>
      </c>
      <c r="F170" s="534">
        <v>0</v>
      </c>
      <c r="G170" s="534">
        <v>0</v>
      </c>
      <c r="H170" s="534">
        <v>0</v>
      </c>
      <c r="I170" s="534">
        <v>0</v>
      </c>
      <c r="J170" s="534">
        <v>0</v>
      </c>
      <c r="K170" s="534">
        <v>0</v>
      </c>
      <c r="L170" s="534">
        <v>0</v>
      </c>
      <c r="M170" s="534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>
      <c r="A171" s="21">
        <v>770</v>
      </c>
      <c r="B171" s="21" t="s">
        <v>162</v>
      </c>
      <c r="C171" s="534">
        <v>4</v>
      </c>
      <c r="D171" s="534">
        <v>4</v>
      </c>
      <c r="E171" s="534">
        <v>4</v>
      </c>
      <c r="F171" s="534">
        <v>4</v>
      </c>
      <c r="G171" s="534">
        <v>4</v>
      </c>
      <c r="H171" s="534">
        <v>4</v>
      </c>
      <c r="I171" s="534">
        <v>4</v>
      </c>
      <c r="J171" s="534">
        <v>4</v>
      </c>
      <c r="K171" s="534">
        <v>0</v>
      </c>
      <c r="L171" s="534">
        <v>3</v>
      </c>
      <c r="M171" s="534">
        <v>4</v>
      </c>
      <c r="N171">
        <v>4</v>
      </c>
      <c r="O171">
        <v>0</v>
      </c>
      <c r="P171">
        <v>5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4</v>
      </c>
      <c r="W171">
        <v>0</v>
      </c>
      <c r="X171">
        <v>4</v>
      </c>
    </row>
    <row r="172" spans="1:24">
      <c r="A172" s="21">
        <v>771</v>
      </c>
      <c r="B172" s="21" t="s">
        <v>163</v>
      </c>
      <c r="C172" s="534">
        <v>0</v>
      </c>
      <c r="D172" s="534">
        <v>0</v>
      </c>
      <c r="E172" s="534">
        <v>0</v>
      </c>
      <c r="F172" s="534">
        <v>0</v>
      </c>
      <c r="G172" s="534">
        <v>0</v>
      </c>
      <c r="H172" s="534">
        <v>0</v>
      </c>
      <c r="I172" s="534">
        <v>0</v>
      </c>
      <c r="J172" s="534">
        <v>0</v>
      </c>
      <c r="K172" s="534">
        <v>0</v>
      </c>
      <c r="L172" s="534">
        <v>0</v>
      </c>
      <c r="M172" s="534">
        <v>0</v>
      </c>
      <c r="N172">
        <v>4</v>
      </c>
      <c r="O172">
        <v>0</v>
      </c>
      <c r="P172">
        <v>0</v>
      </c>
      <c r="Q172">
        <v>0</v>
      </c>
      <c r="R172">
        <v>4</v>
      </c>
      <c r="S172">
        <v>3</v>
      </c>
      <c r="T172">
        <v>0</v>
      </c>
      <c r="U172">
        <v>0</v>
      </c>
      <c r="V172">
        <v>0</v>
      </c>
      <c r="W172">
        <v>0</v>
      </c>
      <c r="X172">
        <v>3</v>
      </c>
    </row>
    <row r="173" spans="1:24">
      <c r="A173" s="21">
        <v>775</v>
      </c>
      <c r="B173" s="21" t="s">
        <v>164</v>
      </c>
      <c r="C173" s="534">
        <v>4</v>
      </c>
      <c r="D173" s="534">
        <v>0</v>
      </c>
      <c r="E173" s="534">
        <v>4</v>
      </c>
      <c r="F173" s="534">
        <v>4</v>
      </c>
      <c r="G173" s="534">
        <v>4</v>
      </c>
      <c r="H173" s="534">
        <v>4</v>
      </c>
      <c r="I173" s="534">
        <v>0</v>
      </c>
      <c r="J173" s="534">
        <v>4</v>
      </c>
      <c r="K173" s="534">
        <v>4</v>
      </c>
      <c r="L173" s="534">
        <v>4</v>
      </c>
      <c r="M173" s="534">
        <v>4</v>
      </c>
      <c r="N173">
        <v>4</v>
      </c>
      <c r="O173">
        <v>4</v>
      </c>
      <c r="P173">
        <v>0</v>
      </c>
      <c r="Q173">
        <v>0</v>
      </c>
      <c r="R173">
        <v>4</v>
      </c>
      <c r="S173">
        <v>3</v>
      </c>
      <c r="T173">
        <v>0</v>
      </c>
      <c r="U173">
        <v>0</v>
      </c>
      <c r="V173">
        <v>4</v>
      </c>
      <c r="W173">
        <v>0</v>
      </c>
      <c r="X173">
        <v>4</v>
      </c>
    </row>
    <row r="174" spans="1:24">
      <c r="A174" s="21">
        <v>780</v>
      </c>
      <c r="B174" s="21" t="s">
        <v>165</v>
      </c>
      <c r="C174" s="534">
        <v>0</v>
      </c>
      <c r="D174" s="534">
        <v>0</v>
      </c>
      <c r="E174" s="534">
        <v>0</v>
      </c>
      <c r="F174" s="534">
        <v>0</v>
      </c>
      <c r="G174" s="534">
        <v>4</v>
      </c>
      <c r="H174" s="534">
        <v>4</v>
      </c>
      <c r="I174" s="534">
        <v>0</v>
      </c>
      <c r="J174" s="534">
        <v>3</v>
      </c>
      <c r="K174" s="534">
        <v>0</v>
      </c>
      <c r="L174" s="534">
        <v>4</v>
      </c>
      <c r="M174" s="534">
        <v>0</v>
      </c>
      <c r="N174">
        <v>0</v>
      </c>
      <c r="O174">
        <v>4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</row>
    <row r="175" spans="1:24">
      <c r="A175" s="21">
        <v>781</v>
      </c>
      <c r="B175" s="21" t="s">
        <v>166</v>
      </c>
      <c r="C175" s="534">
        <v>0</v>
      </c>
      <c r="D175" s="534">
        <v>0</v>
      </c>
      <c r="E175" s="534">
        <v>0</v>
      </c>
      <c r="F175" s="534">
        <v>0</v>
      </c>
      <c r="G175" s="534">
        <v>0</v>
      </c>
      <c r="H175" s="534">
        <v>0</v>
      </c>
      <c r="I175" s="534">
        <v>0</v>
      </c>
      <c r="J175" s="534">
        <v>1</v>
      </c>
      <c r="K175" s="534">
        <v>0</v>
      </c>
      <c r="L175" s="534">
        <v>0</v>
      </c>
      <c r="M175" s="534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</row>
    <row r="176" spans="1:24">
      <c r="A176" s="21">
        <v>790</v>
      </c>
      <c r="B176" s="21" t="s">
        <v>167</v>
      </c>
      <c r="C176" s="534">
        <v>0</v>
      </c>
      <c r="D176" s="534">
        <v>0</v>
      </c>
      <c r="E176" s="534">
        <v>0</v>
      </c>
      <c r="F176" s="534">
        <v>0</v>
      </c>
      <c r="G176" s="534">
        <v>0</v>
      </c>
      <c r="H176" s="534">
        <v>0</v>
      </c>
      <c r="I176" s="534">
        <v>0</v>
      </c>
      <c r="J176" s="534">
        <v>0</v>
      </c>
      <c r="K176" s="534">
        <v>0</v>
      </c>
      <c r="L176" s="534">
        <v>0</v>
      </c>
      <c r="M176" s="534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</row>
    <row r="177" spans="1:24">
      <c r="A177" s="21">
        <v>800</v>
      </c>
      <c r="B177" s="21" t="s">
        <v>168</v>
      </c>
      <c r="C177" s="534">
        <v>4</v>
      </c>
      <c r="D177" s="534">
        <v>4</v>
      </c>
      <c r="E177" s="534">
        <v>4</v>
      </c>
      <c r="F177" s="534">
        <v>4</v>
      </c>
      <c r="G177" s="534">
        <v>4</v>
      </c>
      <c r="H177" s="534">
        <v>4</v>
      </c>
      <c r="I177" s="534">
        <v>4</v>
      </c>
      <c r="J177" s="534">
        <v>4</v>
      </c>
      <c r="K177" s="534">
        <v>4</v>
      </c>
      <c r="L177" s="534">
        <v>1</v>
      </c>
      <c r="M177" s="534">
        <v>4</v>
      </c>
      <c r="N177">
        <v>0</v>
      </c>
      <c r="O177">
        <v>4</v>
      </c>
      <c r="P177">
        <v>0</v>
      </c>
      <c r="Q177">
        <v>4</v>
      </c>
      <c r="R177">
        <v>4</v>
      </c>
      <c r="S177">
        <v>3</v>
      </c>
      <c r="T177">
        <v>4</v>
      </c>
      <c r="U177">
        <v>0</v>
      </c>
      <c r="V177">
        <v>4</v>
      </c>
      <c r="W177">
        <v>0</v>
      </c>
      <c r="X177">
        <v>4</v>
      </c>
    </row>
    <row r="178" spans="1:24">
      <c r="A178" s="21">
        <v>811</v>
      </c>
      <c r="B178" s="21" t="s">
        <v>169</v>
      </c>
      <c r="C178" s="534">
        <v>4</v>
      </c>
      <c r="D178" s="534">
        <v>4</v>
      </c>
      <c r="E178" s="534">
        <v>4</v>
      </c>
      <c r="F178" s="534">
        <v>4</v>
      </c>
      <c r="G178" s="534">
        <v>4</v>
      </c>
      <c r="H178" s="534">
        <v>4</v>
      </c>
      <c r="I178" s="534">
        <v>4</v>
      </c>
      <c r="J178" s="534">
        <v>4</v>
      </c>
      <c r="K178" s="534">
        <v>0</v>
      </c>
      <c r="L178" s="534">
        <v>0</v>
      </c>
      <c r="M178" s="534">
        <v>0</v>
      </c>
      <c r="N178">
        <v>0</v>
      </c>
      <c r="O178">
        <v>0</v>
      </c>
      <c r="P178">
        <v>0</v>
      </c>
      <c r="Q178">
        <v>4</v>
      </c>
      <c r="R178">
        <v>0</v>
      </c>
      <c r="S178">
        <v>4</v>
      </c>
      <c r="T178">
        <v>4</v>
      </c>
      <c r="U178">
        <v>0</v>
      </c>
      <c r="V178">
        <v>0</v>
      </c>
      <c r="W178">
        <v>0</v>
      </c>
      <c r="X178">
        <v>0</v>
      </c>
    </row>
    <row r="179" spans="1:24">
      <c r="A179" s="21">
        <v>812</v>
      </c>
      <c r="B179" s="21" t="s">
        <v>170</v>
      </c>
      <c r="C179" s="534">
        <v>4</v>
      </c>
      <c r="D179" s="534">
        <v>0</v>
      </c>
      <c r="E179" s="534">
        <v>4</v>
      </c>
      <c r="F179" s="534">
        <v>4</v>
      </c>
      <c r="G179" s="534">
        <v>4</v>
      </c>
      <c r="H179" s="534">
        <v>4</v>
      </c>
      <c r="I179" s="534">
        <v>4</v>
      </c>
      <c r="J179" s="534">
        <v>4</v>
      </c>
      <c r="K179" s="534">
        <v>4</v>
      </c>
      <c r="L179" s="534">
        <v>0</v>
      </c>
      <c r="M179" s="534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1:24">
      <c r="A180" s="21">
        <v>816</v>
      </c>
      <c r="B180" s="21" t="s">
        <v>171</v>
      </c>
      <c r="C180" s="534">
        <v>4</v>
      </c>
      <c r="D180" s="534">
        <v>4</v>
      </c>
      <c r="E180" s="534">
        <v>4</v>
      </c>
      <c r="F180" s="534">
        <v>4</v>
      </c>
      <c r="G180" s="534">
        <v>4</v>
      </c>
      <c r="H180" s="534">
        <v>4</v>
      </c>
      <c r="I180" s="534">
        <v>5</v>
      </c>
      <c r="J180" s="534">
        <v>5</v>
      </c>
      <c r="K180" s="534">
        <v>4</v>
      </c>
      <c r="L180" s="534">
        <v>4</v>
      </c>
      <c r="M180" s="534">
        <v>0</v>
      </c>
      <c r="N180">
        <v>0</v>
      </c>
      <c r="O180">
        <v>0</v>
      </c>
      <c r="P180">
        <v>3</v>
      </c>
      <c r="Q180">
        <v>4</v>
      </c>
      <c r="R180">
        <v>4</v>
      </c>
      <c r="S180">
        <v>4</v>
      </c>
      <c r="T180">
        <v>0</v>
      </c>
      <c r="U180">
        <v>3</v>
      </c>
      <c r="V180">
        <v>4</v>
      </c>
      <c r="W180">
        <v>0</v>
      </c>
      <c r="X180">
        <v>0</v>
      </c>
    </row>
    <row r="181" spans="1:24">
      <c r="A181" s="21">
        <v>820</v>
      </c>
      <c r="B181" s="21" t="s">
        <v>172</v>
      </c>
      <c r="C181" s="534">
        <v>3</v>
      </c>
      <c r="D181" s="534">
        <v>0</v>
      </c>
      <c r="E181" s="534">
        <v>0</v>
      </c>
      <c r="F181" s="534">
        <v>3</v>
      </c>
      <c r="G181" s="534">
        <v>3</v>
      </c>
      <c r="H181" s="534">
        <v>4</v>
      </c>
      <c r="I181" s="534">
        <v>0</v>
      </c>
      <c r="J181" s="534">
        <v>0</v>
      </c>
      <c r="K181" s="534">
        <v>4</v>
      </c>
      <c r="L181" s="534">
        <v>0</v>
      </c>
      <c r="M181" s="534">
        <v>0</v>
      </c>
      <c r="N181">
        <v>0</v>
      </c>
      <c r="O181">
        <v>4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</row>
    <row r="182" spans="1:24">
      <c r="A182" s="21">
        <v>830</v>
      </c>
      <c r="B182" s="21" t="s">
        <v>173</v>
      </c>
      <c r="C182" s="534">
        <v>0</v>
      </c>
      <c r="D182" s="534">
        <v>0</v>
      </c>
      <c r="E182" s="534">
        <v>0</v>
      </c>
      <c r="F182" s="534">
        <v>0</v>
      </c>
      <c r="G182" s="534">
        <v>0</v>
      </c>
      <c r="H182" s="534">
        <v>0</v>
      </c>
      <c r="I182" s="534">
        <v>0</v>
      </c>
      <c r="J182" s="534">
        <v>1</v>
      </c>
      <c r="K182" s="534">
        <v>1</v>
      </c>
      <c r="L182" s="534">
        <v>0</v>
      </c>
      <c r="M182" s="534">
        <v>0</v>
      </c>
      <c r="N182">
        <v>0</v>
      </c>
      <c r="O182">
        <v>4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</row>
    <row r="183" spans="1:24">
      <c r="A183" s="21">
        <v>835</v>
      </c>
      <c r="B183" s="21" t="s">
        <v>174</v>
      </c>
      <c r="C183" s="534">
        <v>0</v>
      </c>
      <c r="D183" s="534">
        <v>0</v>
      </c>
      <c r="E183" s="534">
        <v>0</v>
      </c>
      <c r="F183" s="534">
        <v>0</v>
      </c>
      <c r="G183" s="534">
        <v>0</v>
      </c>
      <c r="H183" s="534">
        <v>0</v>
      </c>
      <c r="I183" s="534">
        <v>0</v>
      </c>
      <c r="J183" s="534">
        <v>0</v>
      </c>
      <c r="K183" s="534">
        <v>0</v>
      </c>
      <c r="L183" s="534">
        <v>0</v>
      </c>
      <c r="M183" s="534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</row>
    <row r="184" spans="1:24">
      <c r="A184" s="21">
        <v>840</v>
      </c>
      <c r="B184" s="21" t="s">
        <v>175</v>
      </c>
      <c r="C184" s="534">
        <v>1</v>
      </c>
      <c r="D184" s="534">
        <v>0</v>
      </c>
      <c r="E184" s="534">
        <v>4</v>
      </c>
      <c r="F184" s="534">
        <v>0</v>
      </c>
      <c r="G184" s="534">
        <v>0</v>
      </c>
      <c r="H184" s="534">
        <v>1</v>
      </c>
      <c r="I184" s="534">
        <v>0</v>
      </c>
      <c r="J184" s="534">
        <v>0</v>
      </c>
      <c r="K184" s="534">
        <v>1</v>
      </c>
      <c r="L184" s="534">
        <v>0</v>
      </c>
      <c r="M184" s="534">
        <v>0</v>
      </c>
      <c r="N184">
        <v>0</v>
      </c>
      <c r="O184">
        <v>0</v>
      </c>
      <c r="P184">
        <v>0</v>
      </c>
      <c r="Q184">
        <v>3</v>
      </c>
      <c r="R184">
        <v>4</v>
      </c>
      <c r="S184">
        <v>4</v>
      </c>
      <c r="T184">
        <v>0</v>
      </c>
      <c r="U184">
        <v>4</v>
      </c>
      <c r="V184">
        <v>4</v>
      </c>
      <c r="W184">
        <v>4</v>
      </c>
      <c r="X184">
        <v>4</v>
      </c>
    </row>
    <row r="185" spans="1:24">
      <c r="A185" s="21">
        <v>850</v>
      </c>
      <c r="B185" s="21" t="s">
        <v>176</v>
      </c>
      <c r="C185" s="534">
        <v>3</v>
      </c>
      <c r="D185" s="534">
        <v>0</v>
      </c>
      <c r="E185" s="534">
        <v>4</v>
      </c>
      <c r="F185" s="534">
        <v>0</v>
      </c>
      <c r="G185" s="534">
        <v>4</v>
      </c>
      <c r="H185" s="534">
        <v>0</v>
      </c>
      <c r="I185" s="534">
        <v>0</v>
      </c>
      <c r="J185" s="534">
        <v>0</v>
      </c>
      <c r="K185" s="534">
        <v>4</v>
      </c>
      <c r="L185" s="534">
        <v>0</v>
      </c>
      <c r="M185" s="534">
        <v>4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</v>
      </c>
      <c r="T185">
        <v>0</v>
      </c>
      <c r="U185">
        <v>0</v>
      </c>
      <c r="V185">
        <v>3</v>
      </c>
      <c r="W185">
        <v>0</v>
      </c>
      <c r="X185">
        <v>4</v>
      </c>
    </row>
    <row r="186" spans="1:24">
      <c r="A186" s="21">
        <v>860</v>
      </c>
      <c r="B186" s="21" t="s">
        <v>197</v>
      </c>
      <c r="C186" s="534">
        <v>0</v>
      </c>
      <c r="D186" s="534">
        <v>0</v>
      </c>
      <c r="E186" s="534">
        <v>0</v>
      </c>
      <c r="F186" s="534">
        <v>0</v>
      </c>
      <c r="G186" s="534">
        <v>0</v>
      </c>
      <c r="H186" s="534">
        <v>0</v>
      </c>
      <c r="I186" s="534">
        <v>0</v>
      </c>
      <c r="J186" s="534">
        <v>0</v>
      </c>
      <c r="K186" s="534">
        <v>0</v>
      </c>
      <c r="L186" s="534">
        <v>0</v>
      </c>
      <c r="M186" s="534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</row>
    <row r="187" spans="1:24">
      <c r="A187" s="21">
        <v>900</v>
      </c>
      <c r="B187" s="21" t="s">
        <v>177</v>
      </c>
      <c r="C187" s="534">
        <v>0</v>
      </c>
      <c r="D187" s="534">
        <v>0</v>
      </c>
      <c r="E187" s="534">
        <v>0</v>
      </c>
      <c r="F187" s="534">
        <v>0</v>
      </c>
      <c r="G187" s="534">
        <v>0</v>
      </c>
      <c r="H187" s="534">
        <v>0</v>
      </c>
      <c r="I187" s="534">
        <v>0</v>
      </c>
      <c r="J187" s="534">
        <v>1</v>
      </c>
      <c r="K187" s="534">
        <v>0</v>
      </c>
      <c r="L187" s="534">
        <v>0</v>
      </c>
      <c r="M187" s="534">
        <v>4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3</v>
      </c>
      <c r="W187">
        <v>0</v>
      </c>
      <c r="X187">
        <v>4</v>
      </c>
    </row>
    <row r="188" spans="1:24">
      <c r="A188" s="21">
        <v>910</v>
      </c>
      <c r="B188" s="21" t="s">
        <v>178</v>
      </c>
      <c r="C188" s="534">
        <v>0</v>
      </c>
      <c r="D188" s="534">
        <v>0</v>
      </c>
      <c r="E188" s="534">
        <v>1</v>
      </c>
      <c r="F188" s="534">
        <v>0</v>
      </c>
      <c r="G188" s="534">
        <v>3</v>
      </c>
      <c r="H188" s="534">
        <v>0</v>
      </c>
      <c r="I188" s="534">
        <v>0</v>
      </c>
      <c r="J188" s="534">
        <v>0</v>
      </c>
      <c r="K188" s="534">
        <v>4</v>
      </c>
      <c r="L188" s="534">
        <v>0</v>
      </c>
      <c r="M188" s="534">
        <v>1</v>
      </c>
      <c r="N188">
        <v>0</v>
      </c>
      <c r="O188">
        <v>4</v>
      </c>
      <c r="P188">
        <v>4</v>
      </c>
      <c r="Q188">
        <v>0</v>
      </c>
      <c r="R188">
        <v>0</v>
      </c>
      <c r="S188">
        <v>4</v>
      </c>
      <c r="T188">
        <v>0</v>
      </c>
      <c r="U188">
        <v>0</v>
      </c>
      <c r="V188">
        <v>0</v>
      </c>
      <c r="W188">
        <v>0</v>
      </c>
      <c r="X188">
        <v>0</v>
      </c>
    </row>
    <row r="189" spans="1:24">
      <c r="A189" s="21">
        <v>920</v>
      </c>
      <c r="B189" s="21" t="s">
        <v>179</v>
      </c>
      <c r="C189" s="534">
        <v>0</v>
      </c>
      <c r="D189" s="534">
        <v>0</v>
      </c>
      <c r="E189" s="534">
        <v>0</v>
      </c>
      <c r="F189" s="534">
        <v>0</v>
      </c>
      <c r="G189" s="534">
        <v>0</v>
      </c>
      <c r="H189" s="534">
        <v>1</v>
      </c>
      <c r="I189" s="534">
        <v>0</v>
      </c>
      <c r="J189" s="534">
        <v>0</v>
      </c>
      <c r="K189" s="534">
        <v>0</v>
      </c>
      <c r="L189" s="534">
        <v>0</v>
      </c>
      <c r="M189" s="534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4</v>
      </c>
    </row>
    <row r="190" spans="1:24">
      <c r="A190" s="21">
        <v>935</v>
      </c>
      <c r="B190" s="21" t="s">
        <v>180</v>
      </c>
      <c r="C190" s="534">
        <v>0</v>
      </c>
      <c r="D190" s="534">
        <v>0</v>
      </c>
      <c r="E190" s="534">
        <v>0</v>
      </c>
      <c r="F190" s="534">
        <v>0</v>
      </c>
      <c r="G190" s="534">
        <v>0</v>
      </c>
      <c r="H190" s="534">
        <v>0</v>
      </c>
      <c r="I190" s="534">
        <v>0</v>
      </c>
      <c r="J190" s="534">
        <v>0</v>
      </c>
      <c r="K190" s="534">
        <v>0</v>
      </c>
      <c r="L190" s="534">
        <v>0</v>
      </c>
      <c r="M190" s="534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</row>
    <row r="191" spans="1:24">
      <c r="A191" s="21">
        <v>940</v>
      </c>
      <c r="B191" s="21" t="s">
        <v>181</v>
      </c>
      <c r="C191" s="534">
        <v>0</v>
      </c>
      <c r="D191" s="534">
        <v>0</v>
      </c>
      <c r="E191" s="534">
        <v>0</v>
      </c>
      <c r="F191" s="534">
        <v>0</v>
      </c>
      <c r="G191" s="534">
        <v>0</v>
      </c>
      <c r="H191" s="534">
        <v>0</v>
      </c>
      <c r="I191" s="534">
        <v>0</v>
      </c>
      <c r="J191" s="534">
        <v>0</v>
      </c>
      <c r="K191" s="534">
        <v>0</v>
      </c>
      <c r="L191" s="534">
        <v>0</v>
      </c>
      <c r="M191" s="534">
        <v>0</v>
      </c>
      <c r="N191">
        <v>0</v>
      </c>
      <c r="O191">
        <v>0</v>
      </c>
      <c r="P191">
        <v>4</v>
      </c>
      <c r="Q191">
        <v>0</v>
      </c>
      <c r="R191">
        <v>0</v>
      </c>
      <c r="S191">
        <v>4</v>
      </c>
      <c r="T191">
        <v>0</v>
      </c>
      <c r="U191">
        <v>0</v>
      </c>
      <c r="V191">
        <v>0</v>
      </c>
      <c r="W191">
        <v>4</v>
      </c>
      <c r="X191">
        <v>0</v>
      </c>
    </row>
    <row r="192" spans="1:24">
      <c r="A192" s="21">
        <v>946</v>
      </c>
      <c r="B192" s="21" t="s">
        <v>182</v>
      </c>
      <c r="C192" s="534">
        <v>0</v>
      </c>
      <c r="D192" s="534">
        <v>0</v>
      </c>
      <c r="E192" s="534">
        <v>0</v>
      </c>
      <c r="F192" s="534">
        <v>0</v>
      </c>
      <c r="G192" s="534">
        <v>0</v>
      </c>
      <c r="H192" s="534">
        <v>0</v>
      </c>
      <c r="I192" s="534">
        <v>0</v>
      </c>
      <c r="J192" s="534">
        <v>0</v>
      </c>
      <c r="K192" s="534">
        <v>0</v>
      </c>
      <c r="L192" s="534">
        <v>0</v>
      </c>
      <c r="M192" s="534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>
      <c r="A193" s="21">
        <v>947</v>
      </c>
      <c r="B193" s="21" t="s">
        <v>183</v>
      </c>
      <c r="C193" s="534">
        <v>0</v>
      </c>
      <c r="D193" s="534">
        <v>0</v>
      </c>
      <c r="E193" s="534">
        <v>0</v>
      </c>
      <c r="F193" s="534">
        <v>0</v>
      </c>
      <c r="G193" s="534">
        <v>0</v>
      </c>
      <c r="H193" s="534">
        <v>0</v>
      </c>
      <c r="I193" s="534">
        <v>0</v>
      </c>
      <c r="J193" s="534">
        <v>0</v>
      </c>
      <c r="K193" s="534">
        <v>0</v>
      </c>
      <c r="L193" s="534">
        <v>0</v>
      </c>
      <c r="M193" s="534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>
      <c r="A194" s="21">
        <v>950</v>
      </c>
      <c r="B194" s="21" t="s">
        <v>184</v>
      </c>
      <c r="C194" s="534">
        <v>0</v>
      </c>
      <c r="D194" s="534">
        <v>0</v>
      </c>
      <c r="E194" s="534">
        <v>0</v>
      </c>
      <c r="F194" s="534">
        <v>0</v>
      </c>
      <c r="G194" s="534">
        <v>0</v>
      </c>
      <c r="H194" s="534">
        <v>0</v>
      </c>
      <c r="I194" s="534">
        <v>0</v>
      </c>
      <c r="J194" s="534">
        <v>0</v>
      </c>
      <c r="K194" s="534">
        <v>0</v>
      </c>
      <c r="L194" s="534">
        <v>0</v>
      </c>
      <c r="M194" s="53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</row>
    <row r="195" spans="1:24">
      <c r="A195" s="21">
        <v>955</v>
      </c>
      <c r="B195" s="21" t="s">
        <v>185</v>
      </c>
      <c r="C195" s="534">
        <v>0</v>
      </c>
      <c r="D195" s="534">
        <v>0</v>
      </c>
      <c r="E195" s="534">
        <v>0</v>
      </c>
      <c r="F195" s="534">
        <v>0</v>
      </c>
      <c r="G195" s="534">
        <v>0</v>
      </c>
      <c r="H195" s="534">
        <v>0</v>
      </c>
      <c r="I195" s="534">
        <v>0</v>
      </c>
      <c r="J195" s="534">
        <v>0</v>
      </c>
      <c r="K195" s="534">
        <v>0</v>
      </c>
      <c r="L195" s="534">
        <v>0</v>
      </c>
      <c r="M195" s="534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>
      <c r="A196" s="21">
        <v>970</v>
      </c>
      <c r="B196" s="21" t="s">
        <v>186</v>
      </c>
      <c r="C196" s="534">
        <v>0</v>
      </c>
      <c r="D196" s="534">
        <v>0</v>
      </c>
      <c r="E196" s="534">
        <v>0</v>
      </c>
      <c r="F196" s="534">
        <v>0</v>
      </c>
      <c r="G196" s="534">
        <v>0</v>
      </c>
      <c r="H196" s="534">
        <v>0</v>
      </c>
      <c r="I196" s="534">
        <v>0</v>
      </c>
      <c r="J196" s="534">
        <v>0</v>
      </c>
      <c r="K196" s="534">
        <v>0</v>
      </c>
      <c r="L196" s="534">
        <v>0</v>
      </c>
      <c r="M196" s="534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</row>
    <row r="197" spans="1:24">
      <c r="A197" s="21">
        <v>983</v>
      </c>
      <c r="B197" s="21" t="s">
        <v>187</v>
      </c>
      <c r="C197" s="534">
        <v>0</v>
      </c>
      <c r="D197" s="534">
        <v>0</v>
      </c>
      <c r="E197" s="534">
        <v>0</v>
      </c>
      <c r="F197" s="534">
        <v>0</v>
      </c>
      <c r="G197" s="534">
        <v>0</v>
      </c>
      <c r="H197" s="534">
        <v>0</v>
      </c>
      <c r="I197" s="534">
        <v>0</v>
      </c>
      <c r="J197" s="534">
        <v>0</v>
      </c>
      <c r="K197" s="534">
        <v>0</v>
      </c>
      <c r="L197" s="534">
        <v>0</v>
      </c>
      <c r="M197" s="534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</row>
    <row r="198" spans="1:24">
      <c r="A198" s="21">
        <v>986</v>
      </c>
      <c r="B198" s="21" t="s">
        <v>188</v>
      </c>
      <c r="C198" s="534">
        <v>0</v>
      </c>
      <c r="D198" s="534">
        <v>0</v>
      </c>
      <c r="E198" s="534">
        <v>0</v>
      </c>
      <c r="F198" s="534">
        <v>0</v>
      </c>
      <c r="G198" s="534">
        <v>0</v>
      </c>
      <c r="H198" s="534">
        <v>0</v>
      </c>
      <c r="I198" s="534">
        <v>0</v>
      </c>
      <c r="J198" s="534">
        <v>0</v>
      </c>
      <c r="K198" s="534">
        <v>0</v>
      </c>
      <c r="L198" s="534">
        <v>0</v>
      </c>
      <c r="M198" s="534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</row>
    <row r="199" spans="1:24">
      <c r="A199" s="21">
        <v>987</v>
      </c>
      <c r="B199" s="21" t="s">
        <v>189</v>
      </c>
      <c r="C199" s="534">
        <v>0</v>
      </c>
      <c r="D199" s="534">
        <v>0</v>
      </c>
      <c r="E199" s="534">
        <v>0</v>
      </c>
      <c r="F199" s="534">
        <v>0</v>
      </c>
      <c r="G199" s="534">
        <v>0</v>
      </c>
      <c r="H199" s="534">
        <v>0</v>
      </c>
      <c r="I199" s="534">
        <v>0</v>
      </c>
      <c r="J199" s="534">
        <v>0</v>
      </c>
      <c r="K199" s="534">
        <v>0</v>
      </c>
      <c r="L199" s="534">
        <v>0</v>
      </c>
      <c r="M199" s="534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</row>
    <row r="200" spans="1:24">
      <c r="A200" s="21">
        <v>990</v>
      </c>
      <c r="B200" s="21" t="s">
        <v>190</v>
      </c>
      <c r="C200" s="534">
        <v>0</v>
      </c>
      <c r="D200" s="534">
        <v>0</v>
      </c>
      <c r="E200" s="534">
        <v>0</v>
      </c>
      <c r="F200" s="534">
        <v>0</v>
      </c>
      <c r="G200" s="534">
        <v>0</v>
      </c>
      <c r="H200" s="534">
        <v>0</v>
      </c>
      <c r="I200" s="534">
        <v>0</v>
      </c>
      <c r="J200" s="534">
        <v>0</v>
      </c>
      <c r="K200" s="534">
        <v>0</v>
      </c>
      <c r="L200" s="534">
        <v>0</v>
      </c>
      <c r="M200" s="534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workbookViewId="0">
      <selection activeCell="E160" sqref="A160:XFD160"/>
    </sheetView>
  </sheetViews>
  <sheetFormatPr defaultRowHeight="15"/>
  <cols>
    <col min="1" max="1" width="7.140625" bestFit="1" customWidth="1"/>
    <col min="2" max="2" width="8.85546875" bestFit="1" customWidth="1"/>
    <col min="3" max="3" width="8.85546875" style="171" customWidth="1"/>
  </cols>
  <sheetData>
    <row r="1" spans="1:23" s="9" customFormat="1">
      <c r="A1" s="12" t="s">
        <v>393</v>
      </c>
      <c r="C1" s="171"/>
    </row>
    <row r="2" spans="1:23" s="9" customFormat="1">
      <c r="A2" s="1" t="s">
        <v>399</v>
      </c>
      <c r="C2" s="171"/>
    </row>
    <row r="3" spans="1:23" s="9" customFormat="1">
      <c r="A3" s="9" t="s">
        <v>394</v>
      </c>
      <c r="C3" s="171"/>
    </row>
    <row r="4" spans="1:23" s="9" customFormat="1">
      <c r="C4" s="171"/>
    </row>
    <row r="5" spans="1:23">
      <c r="A5" s="2" t="s">
        <v>191</v>
      </c>
      <c r="B5" s="22" t="s">
        <v>192</v>
      </c>
      <c r="C5" s="22">
        <v>1990</v>
      </c>
      <c r="D5" s="2">
        <v>1991</v>
      </c>
      <c r="E5" s="2">
        <v>1992</v>
      </c>
      <c r="F5" s="2">
        <v>1993</v>
      </c>
      <c r="G5" s="2">
        <v>1994</v>
      </c>
      <c r="H5" s="2">
        <v>1995</v>
      </c>
      <c r="I5" s="2">
        <v>1996</v>
      </c>
      <c r="J5" s="2">
        <v>1997</v>
      </c>
      <c r="K5" s="2">
        <v>1998</v>
      </c>
      <c r="L5" s="2">
        <v>1999</v>
      </c>
      <c r="M5" s="2">
        <v>2000</v>
      </c>
      <c r="N5" s="2">
        <v>2001</v>
      </c>
      <c r="O5" s="2">
        <v>2002</v>
      </c>
      <c r="P5" s="2">
        <v>2003</v>
      </c>
      <c r="Q5" s="2">
        <v>2004</v>
      </c>
      <c r="R5" s="2">
        <v>2005</v>
      </c>
      <c r="S5" s="2">
        <v>2006</v>
      </c>
      <c r="T5" s="2">
        <v>2007</v>
      </c>
      <c r="U5" s="22">
        <v>2008</v>
      </c>
      <c r="V5" s="22">
        <v>2009</v>
      </c>
      <c r="W5" s="22">
        <v>2010</v>
      </c>
    </row>
    <row r="6" spans="1:23">
      <c r="A6" s="2">
        <v>2</v>
      </c>
      <c r="B6" s="2" t="s">
        <v>0</v>
      </c>
      <c r="C6" s="22">
        <v>138</v>
      </c>
      <c r="D6" s="2">
        <v>180</v>
      </c>
      <c r="E6" s="2">
        <v>136</v>
      </c>
      <c r="F6" s="2">
        <v>191</v>
      </c>
      <c r="G6" s="2">
        <v>223</v>
      </c>
      <c r="H6" s="2">
        <v>186</v>
      </c>
      <c r="I6" s="2">
        <v>168</v>
      </c>
      <c r="J6" s="2">
        <v>201</v>
      </c>
      <c r="K6" s="2">
        <v>200</v>
      </c>
      <c r="L6" s="2">
        <v>163</v>
      </c>
      <c r="M6" s="2">
        <v>158</v>
      </c>
      <c r="N6" s="2">
        <v>237</v>
      </c>
      <c r="O6" s="2">
        <v>174</v>
      </c>
      <c r="P6" s="2">
        <v>100</v>
      </c>
      <c r="Q6" s="2">
        <v>77</v>
      </c>
      <c r="R6" s="2">
        <v>248</v>
      </c>
      <c r="S6" s="2">
        <v>243</v>
      </c>
      <c r="T6" s="2">
        <v>182</v>
      </c>
      <c r="U6" s="22">
        <v>33</v>
      </c>
      <c r="V6" s="22">
        <v>31</v>
      </c>
      <c r="W6" s="22">
        <v>28</v>
      </c>
    </row>
    <row r="7" spans="1:23">
      <c r="A7" s="2">
        <v>20</v>
      </c>
      <c r="B7" s="2" t="s">
        <v>1</v>
      </c>
      <c r="C7" s="22">
        <v>20</v>
      </c>
      <c r="D7" s="2">
        <v>16</v>
      </c>
      <c r="E7" s="2">
        <v>18</v>
      </c>
      <c r="F7" s="2">
        <v>8</v>
      </c>
      <c r="G7" s="2">
        <v>25</v>
      </c>
      <c r="H7" s="2">
        <v>28</v>
      </c>
      <c r="I7" s="2">
        <v>20</v>
      </c>
      <c r="J7" s="2">
        <v>29</v>
      </c>
      <c r="K7" s="2">
        <v>19</v>
      </c>
      <c r="L7" s="2">
        <v>20</v>
      </c>
      <c r="M7" s="2">
        <v>22</v>
      </c>
      <c r="N7" s="2">
        <v>23</v>
      </c>
      <c r="O7" s="2">
        <v>6</v>
      </c>
      <c r="P7" s="2">
        <v>7</v>
      </c>
      <c r="Q7" s="2">
        <v>5</v>
      </c>
      <c r="R7" s="2">
        <v>13</v>
      </c>
      <c r="S7" s="2">
        <v>21</v>
      </c>
      <c r="T7" s="2">
        <v>10</v>
      </c>
      <c r="U7" s="22">
        <v>0</v>
      </c>
      <c r="V7" s="22">
        <v>2</v>
      </c>
      <c r="W7" s="22">
        <v>0</v>
      </c>
    </row>
    <row r="8" spans="1:23">
      <c r="A8" s="2">
        <v>31</v>
      </c>
      <c r="B8" s="2" t="s">
        <v>2</v>
      </c>
      <c r="C8" s="22">
        <v>0</v>
      </c>
      <c r="D8" s="2">
        <v>1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1</v>
      </c>
      <c r="N8" s="2">
        <v>3</v>
      </c>
      <c r="O8" s="2">
        <v>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2">
        <v>0</v>
      </c>
      <c r="V8" s="22">
        <v>0</v>
      </c>
    </row>
    <row r="9" spans="1:23">
      <c r="A9" s="2">
        <v>40</v>
      </c>
      <c r="B9" s="2" t="s">
        <v>3</v>
      </c>
      <c r="C9" s="22">
        <v>9</v>
      </c>
      <c r="D9" s="2">
        <v>9</v>
      </c>
      <c r="E9" s="2">
        <v>9</v>
      </c>
      <c r="F9" s="2">
        <v>23</v>
      </c>
      <c r="G9" s="2">
        <v>21</v>
      </c>
      <c r="H9" s="2">
        <v>32</v>
      </c>
      <c r="I9" s="2">
        <v>25</v>
      </c>
      <c r="J9" s="2">
        <v>23</v>
      </c>
      <c r="K9" s="2">
        <v>23</v>
      </c>
      <c r="L9" s="2">
        <v>23</v>
      </c>
      <c r="M9" s="2">
        <v>20</v>
      </c>
      <c r="N9" s="2">
        <v>11</v>
      </c>
      <c r="O9" s="2">
        <v>18</v>
      </c>
      <c r="P9" s="2">
        <v>1</v>
      </c>
      <c r="Q9" s="2">
        <v>6</v>
      </c>
      <c r="R9" s="2">
        <v>22</v>
      </c>
      <c r="S9" s="2">
        <v>20</v>
      </c>
      <c r="T9" s="2">
        <v>16</v>
      </c>
      <c r="U9" s="22">
        <v>8</v>
      </c>
      <c r="V9" s="22">
        <v>5</v>
      </c>
      <c r="W9" s="22">
        <v>1</v>
      </c>
    </row>
    <row r="10" spans="1:23">
      <c r="A10" s="2">
        <v>41</v>
      </c>
      <c r="B10" s="2" t="s">
        <v>4</v>
      </c>
      <c r="C10" s="22">
        <v>6</v>
      </c>
      <c r="D10" s="2">
        <v>2</v>
      </c>
      <c r="E10" s="2">
        <v>6</v>
      </c>
      <c r="F10" s="2">
        <v>5</v>
      </c>
      <c r="G10" s="2">
        <v>21</v>
      </c>
      <c r="H10" s="2">
        <v>8</v>
      </c>
      <c r="I10" s="2">
        <v>6</v>
      </c>
      <c r="J10" s="2">
        <v>3</v>
      </c>
      <c r="K10" s="2">
        <v>6</v>
      </c>
      <c r="L10" s="2">
        <v>2</v>
      </c>
      <c r="M10" s="2">
        <v>1</v>
      </c>
      <c r="N10" s="2">
        <v>0</v>
      </c>
      <c r="O10" s="2">
        <v>0</v>
      </c>
      <c r="P10" s="2">
        <v>0</v>
      </c>
      <c r="Q10" s="2">
        <v>12</v>
      </c>
      <c r="R10" s="2">
        <v>12</v>
      </c>
      <c r="S10" s="2">
        <v>4</v>
      </c>
      <c r="T10" s="2">
        <v>3</v>
      </c>
      <c r="U10" s="22">
        <v>0</v>
      </c>
      <c r="V10" s="22">
        <v>1</v>
      </c>
      <c r="W10" s="22">
        <v>11</v>
      </c>
    </row>
    <row r="11" spans="1:23">
      <c r="A11" s="2">
        <v>42</v>
      </c>
      <c r="B11" s="2" t="s">
        <v>5</v>
      </c>
      <c r="C11" s="22">
        <v>3</v>
      </c>
      <c r="D11" s="2">
        <v>0</v>
      </c>
      <c r="E11" s="2">
        <v>0</v>
      </c>
      <c r="F11" s="2">
        <v>1</v>
      </c>
      <c r="G11" s="2">
        <v>5</v>
      </c>
      <c r="H11" s="2">
        <v>0</v>
      </c>
      <c r="I11" s="2">
        <v>2</v>
      </c>
      <c r="J11" s="2">
        <v>5</v>
      </c>
      <c r="K11" s="2">
        <v>2</v>
      </c>
      <c r="L11" s="2">
        <v>0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0</v>
      </c>
      <c r="S11" s="2">
        <v>1</v>
      </c>
      <c r="T11" s="2">
        <v>0</v>
      </c>
      <c r="U11" s="22">
        <v>0</v>
      </c>
      <c r="V11" s="22">
        <v>0</v>
      </c>
      <c r="W11" s="22">
        <v>0</v>
      </c>
    </row>
    <row r="12" spans="1:23">
      <c r="A12" s="2">
        <v>51</v>
      </c>
      <c r="B12" s="2" t="s">
        <v>6</v>
      </c>
      <c r="C12" s="22">
        <v>1</v>
      </c>
      <c r="D12" s="2">
        <v>2</v>
      </c>
      <c r="E12" s="2">
        <v>2</v>
      </c>
      <c r="F12" s="2">
        <v>1</v>
      </c>
      <c r="G12" s="2">
        <v>1</v>
      </c>
      <c r="H12" s="2">
        <v>2</v>
      </c>
      <c r="I12" s="2">
        <v>0</v>
      </c>
      <c r="J12" s="2">
        <v>5</v>
      </c>
      <c r="K12" s="2">
        <v>4</v>
      </c>
      <c r="L12" s="2">
        <v>2</v>
      </c>
      <c r="M12" s="2">
        <v>1</v>
      </c>
      <c r="N12" s="2">
        <v>3</v>
      </c>
      <c r="O12" s="2">
        <v>3</v>
      </c>
      <c r="P12" s="2">
        <v>0</v>
      </c>
      <c r="Q12" s="2">
        <v>5</v>
      </c>
      <c r="R12" s="2">
        <v>2</v>
      </c>
      <c r="S12" s="2">
        <v>0</v>
      </c>
      <c r="T12" s="2">
        <v>0</v>
      </c>
      <c r="U12" s="22">
        <v>0</v>
      </c>
      <c r="V12" s="22">
        <v>0</v>
      </c>
      <c r="W12" s="22">
        <v>0</v>
      </c>
    </row>
    <row r="13" spans="1:23">
      <c r="A13" s="2">
        <v>52</v>
      </c>
      <c r="B13" s="2" t="s">
        <v>7</v>
      </c>
      <c r="C13" s="22">
        <v>0</v>
      </c>
      <c r="D13" s="2">
        <v>1</v>
      </c>
      <c r="E13" s="2">
        <v>0</v>
      </c>
      <c r="F13" s="2">
        <v>0</v>
      </c>
      <c r="G13" s="2">
        <v>0</v>
      </c>
      <c r="H13" s="2">
        <v>5</v>
      </c>
      <c r="I13" s="2">
        <v>2</v>
      </c>
      <c r="J13" s="2">
        <v>1</v>
      </c>
      <c r="K13" s="2">
        <v>2</v>
      </c>
      <c r="L13" s="2">
        <v>3</v>
      </c>
      <c r="M13" s="2">
        <v>2</v>
      </c>
      <c r="N13" s="2">
        <v>0</v>
      </c>
      <c r="O13" s="2">
        <v>0</v>
      </c>
      <c r="P13" s="2">
        <v>0</v>
      </c>
      <c r="Q13" s="2">
        <v>1</v>
      </c>
      <c r="R13" s="2">
        <v>2</v>
      </c>
      <c r="S13" s="2">
        <v>0</v>
      </c>
      <c r="T13" s="2">
        <v>0</v>
      </c>
      <c r="U13" s="22">
        <v>0</v>
      </c>
      <c r="V13" s="22">
        <v>0</v>
      </c>
      <c r="W13" s="22">
        <v>0</v>
      </c>
    </row>
    <row r="14" spans="1:23">
      <c r="A14" s="2">
        <v>53</v>
      </c>
      <c r="B14" s="2" t="s">
        <v>8</v>
      </c>
      <c r="C14" s="22">
        <v>1</v>
      </c>
      <c r="D14" s="2">
        <v>0</v>
      </c>
      <c r="E14" s="2">
        <v>1</v>
      </c>
      <c r="F14" s="2">
        <v>0</v>
      </c>
      <c r="G14" s="2">
        <v>1</v>
      </c>
      <c r="H14" s="2">
        <v>1</v>
      </c>
      <c r="I14" s="2">
        <v>0</v>
      </c>
      <c r="J14" s="2">
        <v>1</v>
      </c>
      <c r="K14" s="2">
        <v>2</v>
      </c>
      <c r="L14" s="2">
        <v>1</v>
      </c>
      <c r="M14" s="2">
        <v>0</v>
      </c>
      <c r="N14" s="2">
        <v>0</v>
      </c>
      <c r="O14" s="2">
        <v>0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2">
        <v>0</v>
      </c>
      <c r="V14" s="22">
        <v>0</v>
      </c>
      <c r="W14" s="22">
        <v>0</v>
      </c>
    </row>
    <row r="15" spans="1:23">
      <c r="A15" s="2">
        <v>54</v>
      </c>
      <c r="B15" s="2" t="s">
        <v>9</v>
      </c>
      <c r="C15" s="2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2">
        <v>0</v>
      </c>
      <c r="V15" s="22">
        <v>0</v>
      </c>
      <c r="W15" s="22">
        <v>0</v>
      </c>
    </row>
    <row r="16" spans="1:23">
      <c r="A16" s="2">
        <v>55</v>
      </c>
      <c r="B16" s="2" t="s">
        <v>10</v>
      </c>
      <c r="C16" s="2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2">
        <v>0</v>
      </c>
      <c r="V16" s="22">
        <v>0</v>
      </c>
      <c r="W16" s="22">
        <v>0</v>
      </c>
    </row>
    <row r="17" spans="1:23">
      <c r="A17" s="2">
        <v>56</v>
      </c>
      <c r="B17" s="2" t="s">
        <v>11</v>
      </c>
      <c r="C17" s="2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2</v>
      </c>
      <c r="U17" s="22">
        <v>0</v>
      </c>
      <c r="V17" s="22">
        <v>0</v>
      </c>
      <c r="W17" s="22">
        <v>0</v>
      </c>
    </row>
    <row r="18" spans="1:23">
      <c r="A18" s="2">
        <v>57</v>
      </c>
      <c r="B18" s="2" t="s">
        <v>12</v>
      </c>
      <c r="C18" s="2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2">
        <v>0</v>
      </c>
      <c r="V18" s="22">
        <v>0</v>
      </c>
      <c r="W18" s="22">
        <v>0</v>
      </c>
    </row>
    <row r="19" spans="1:23">
      <c r="A19" s="2">
        <v>58</v>
      </c>
      <c r="B19" s="2" t="s">
        <v>13</v>
      </c>
      <c r="C19" s="2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2">
        <v>1</v>
      </c>
      <c r="V19" s="22">
        <v>0</v>
      </c>
      <c r="W19" s="22">
        <v>0</v>
      </c>
    </row>
    <row r="20" spans="1:23">
      <c r="A20" s="2">
        <v>60</v>
      </c>
      <c r="B20" s="2" t="s">
        <v>14</v>
      </c>
      <c r="C20" s="2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2">
        <v>0</v>
      </c>
      <c r="V20" s="22">
        <v>0</v>
      </c>
      <c r="W20" s="22">
        <v>0</v>
      </c>
    </row>
    <row r="21" spans="1:23">
      <c r="A21" s="2">
        <v>70</v>
      </c>
      <c r="B21" s="2" t="s">
        <v>15</v>
      </c>
      <c r="C21" s="22">
        <v>16</v>
      </c>
      <c r="D21" s="2">
        <v>14</v>
      </c>
      <c r="E21" s="2">
        <v>14</v>
      </c>
      <c r="F21" s="2">
        <v>18</v>
      </c>
      <c r="G21" s="2">
        <v>8</v>
      </c>
      <c r="H21" s="2">
        <v>8</v>
      </c>
      <c r="I21" s="2">
        <v>29</v>
      </c>
      <c r="J21" s="2">
        <v>30</v>
      </c>
      <c r="K21" s="2">
        <v>15</v>
      </c>
      <c r="L21" s="2">
        <v>16</v>
      </c>
      <c r="M21" s="2">
        <v>12</v>
      </c>
      <c r="N21" s="2">
        <v>12</v>
      </c>
      <c r="O21" s="2">
        <v>17</v>
      </c>
      <c r="P21" s="2">
        <v>6</v>
      </c>
      <c r="Q21" s="2">
        <v>10</v>
      </c>
      <c r="R21" s="2">
        <v>7</v>
      </c>
      <c r="S21" s="2">
        <v>5</v>
      </c>
      <c r="T21" s="2">
        <v>9</v>
      </c>
      <c r="U21" s="22">
        <v>1</v>
      </c>
      <c r="V21" s="22">
        <v>14</v>
      </c>
      <c r="W21" s="22">
        <v>2</v>
      </c>
    </row>
    <row r="22" spans="1:23">
      <c r="A22" s="2">
        <v>80</v>
      </c>
      <c r="B22" s="2" t="s">
        <v>16</v>
      </c>
      <c r="C22" s="22">
        <v>0</v>
      </c>
      <c r="D22" s="2">
        <v>0</v>
      </c>
      <c r="E22" s="2">
        <v>0</v>
      </c>
      <c r="F22" s="2">
        <v>0</v>
      </c>
      <c r="G22" s="2">
        <v>2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2">
        <v>0</v>
      </c>
      <c r="V22" s="22">
        <v>0</v>
      </c>
      <c r="W22" s="22">
        <v>0</v>
      </c>
    </row>
    <row r="23" spans="1:23">
      <c r="A23" s="2">
        <v>90</v>
      </c>
      <c r="B23" s="2" t="s">
        <v>17</v>
      </c>
      <c r="C23" s="22">
        <v>3</v>
      </c>
      <c r="D23" s="2">
        <v>2</v>
      </c>
      <c r="E23" s="2">
        <v>0</v>
      </c>
      <c r="F23" s="2">
        <v>2</v>
      </c>
      <c r="G23" s="2">
        <v>2</v>
      </c>
      <c r="H23" s="2">
        <v>0</v>
      </c>
      <c r="I23" s="2">
        <v>3</v>
      </c>
      <c r="J23" s="2">
        <v>7</v>
      </c>
      <c r="K23" s="2">
        <v>6</v>
      </c>
      <c r="L23" s="2">
        <v>4</v>
      </c>
      <c r="M23" s="2">
        <v>3</v>
      </c>
      <c r="N23" s="2">
        <v>1</v>
      </c>
      <c r="O23" s="2">
        <v>1</v>
      </c>
      <c r="P23" s="2">
        <v>0</v>
      </c>
      <c r="Q23" s="2">
        <v>0</v>
      </c>
      <c r="R23" s="2">
        <v>2</v>
      </c>
      <c r="S23" s="2">
        <v>4</v>
      </c>
      <c r="T23" s="2">
        <v>9</v>
      </c>
      <c r="U23" s="22">
        <v>0</v>
      </c>
      <c r="V23" s="22">
        <v>0</v>
      </c>
      <c r="W23" s="22">
        <v>0</v>
      </c>
    </row>
    <row r="24" spans="1:23">
      <c r="A24" s="2">
        <v>91</v>
      </c>
      <c r="B24" s="2" t="s">
        <v>18</v>
      </c>
      <c r="C24" s="22">
        <v>4</v>
      </c>
      <c r="D24" s="2">
        <v>0</v>
      </c>
      <c r="E24" s="2">
        <v>1</v>
      </c>
      <c r="F24" s="2">
        <v>2</v>
      </c>
      <c r="G24" s="2">
        <v>2</v>
      </c>
      <c r="H24" s="2">
        <v>0</v>
      </c>
      <c r="I24" s="2">
        <v>1</v>
      </c>
      <c r="J24" s="2">
        <v>3</v>
      </c>
      <c r="K24" s="2">
        <v>8</v>
      </c>
      <c r="L24" s="2">
        <v>5</v>
      </c>
      <c r="M24" s="2">
        <v>0</v>
      </c>
      <c r="N24" s="2">
        <v>2</v>
      </c>
      <c r="O24" s="2">
        <v>1</v>
      </c>
      <c r="P24" s="2">
        <v>0</v>
      </c>
      <c r="Q24" s="2">
        <v>0</v>
      </c>
      <c r="R24" s="2">
        <v>0</v>
      </c>
      <c r="S24" s="2">
        <v>1</v>
      </c>
      <c r="T24" s="2">
        <v>0</v>
      </c>
      <c r="U24" s="22">
        <v>0</v>
      </c>
      <c r="V24">
        <v>3</v>
      </c>
      <c r="W24" s="22">
        <v>0</v>
      </c>
    </row>
    <row r="25" spans="1:23">
      <c r="A25" s="2">
        <v>92</v>
      </c>
      <c r="B25" s="2" t="s">
        <v>19</v>
      </c>
      <c r="C25" s="22">
        <v>4</v>
      </c>
      <c r="D25" s="2">
        <v>1</v>
      </c>
      <c r="E25" s="2">
        <v>4</v>
      </c>
      <c r="F25" s="2">
        <v>2</v>
      </c>
      <c r="G25" s="2">
        <v>0</v>
      </c>
      <c r="H25" s="2">
        <v>1</v>
      </c>
      <c r="I25" s="2">
        <v>1</v>
      </c>
      <c r="J25" s="2">
        <v>3</v>
      </c>
      <c r="K25" s="2">
        <v>4</v>
      </c>
      <c r="L25" s="2">
        <v>1</v>
      </c>
      <c r="M25" s="2">
        <v>0</v>
      </c>
      <c r="N25" s="2">
        <v>4</v>
      </c>
      <c r="O25" s="2">
        <v>3</v>
      </c>
      <c r="P25" s="2">
        <v>1</v>
      </c>
      <c r="Q25" s="2">
        <v>3</v>
      </c>
      <c r="R25" s="2">
        <v>6</v>
      </c>
      <c r="S25" s="2">
        <v>0</v>
      </c>
      <c r="T25" s="2">
        <v>2</v>
      </c>
      <c r="U25" s="22">
        <v>0</v>
      </c>
      <c r="V25" s="22">
        <v>0</v>
      </c>
      <c r="W25" s="22">
        <v>0</v>
      </c>
    </row>
    <row r="26" spans="1:23">
      <c r="A26" s="2">
        <v>93</v>
      </c>
      <c r="B26" s="2" t="s">
        <v>20</v>
      </c>
      <c r="C26" s="22">
        <v>6</v>
      </c>
      <c r="D26" s="2">
        <v>1</v>
      </c>
      <c r="E26" s="2">
        <v>1</v>
      </c>
      <c r="F26" s="2">
        <v>1</v>
      </c>
      <c r="G26" s="2">
        <v>2</v>
      </c>
      <c r="H26" s="2">
        <v>3</v>
      </c>
      <c r="I26" s="2">
        <v>0</v>
      </c>
      <c r="J26" s="2">
        <v>5</v>
      </c>
      <c r="K26" s="2">
        <v>5</v>
      </c>
      <c r="L26" s="2">
        <v>2</v>
      </c>
      <c r="M26" s="2">
        <v>3</v>
      </c>
      <c r="N26" s="2">
        <v>2</v>
      </c>
      <c r="O26" s="2">
        <v>2</v>
      </c>
      <c r="P26" s="2">
        <v>0</v>
      </c>
      <c r="Q26" s="2">
        <v>0</v>
      </c>
      <c r="R26" s="2">
        <v>0</v>
      </c>
      <c r="S26" s="2">
        <v>0</v>
      </c>
      <c r="T26" s="2">
        <v>2</v>
      </c>
      <c r="U26" s="22">
        <v>0</v>
      </c>
      <c r="V26" s="22">
        <v>0</v>
      </c>
      <c r="W26" s="22">
        <v>0</v>
      </c>
    </row>
    <row r="27" spans="1:23">
      <c r="A27" s="2">
        <v>94</v>
      </c>
      <c r="B27" s="2" t="s">
        <v>21</v>
      </c>
      <c r="C27" s="22">
        <v>1</v>
      </c>
      <c r="D27" s="2">
        <v>5</v>
      </c>
      <c r="E27" s="2">
        <v>0</v>
      </c>
      <c r="F27" s="2">
        <v>1</v>
      </c>
      <c r="G27" s="2">
        <v>2</v>
      </c>
      <c r="H27" s="2">
        <v>1</v>
      </c>
      <c r="I27" s="2">
        <v>2</v>
      </c>
      <c r="J27" s="2">
        <v>3</v>
      </c>
      <c r="K27" s="2">
        <v>1</v>
      </c>
      <c r="L27" s="2">
        <v>0</v>
      </c>
      <c r="M27" s="2">
        <v>2</v>
      </c>
      <c r="N27" s="2">
        <v>0</v>
      </c>
      <c r="O27" s="2">
        <v>0</v>
      </c>
      <c r="P27" s="2">
        <v>0</v>
      </c>
      <c r="Q27" s="2">
        <v>1</v>
      </c>
      <c r="R27" s="2">
        <v>0</v>
      </c>
      <c r="S27" s="2">
        <v>0</v>
      </c>
      <c r="T27" s="2">
        <v>0</v>
      </c>
      <c r="U27" s="22">
        <v>0</v>
      </c>
      <c r="V27" s="22">
        <v>0</v>
      </c>
      <c r="W27" s="22">
        <v>0</v>
      </c>
    </row>
    <row r="28" spans="1:23">
      <c r="A28" s="2">
        <v>95</v>
      </c>
      <c r="B28" s="2" t="s">
        <v>22</v>
      </c>
      <c r="C28" s="22">
        <v>3</v>
      </c>
      <c r="D28" s="2">
        <v>2</v>
      </c>
      <c r="E28" s="2">
        <v>4</v>
      </c>
      <c r="F28" s="2">
        <v>1</v>
      </c>
      <c r="G28" s="2">
        <v>3</v>
      </c>
      <c r="H28" s="2">
        <v>0</v>
      </c>
      <c r="I28" s="2">
        <v>9</v>
      </c>
      <c r="J28" s="2">
        <v>12</v>
      </c>
      <c r="K28" s="2">
        <v>4</v>
      </c>
      <c r="L28" s="2">
        <v>3</v>
      </c>
      <c r="M28" s="2">
        <v>10</v>
      </c>
      <c r="N28" s="2">
        <v>0</v>
      </c>
      <c r="O28" s="2">
        <v>0</v>
      </c>
      <c r="P28" s="2">
        <v>1</v>
      </c>
      <c r="Q28" s="2">
        <v>0</v>
      </c>
      <c r="R28" s="2">
        <v>0</v>
      </c>
      <c r="S28" s="2">
        <v>0</v>
      </c>
      <c r="T28" s="2">
        <v>1</v>
      </c>
      <c r="U28" s="22">
        <v>0</v>
      </c>
      <c r="V28" s="22">
        <v>0</v>
      </c>
      <c r="W28" s="22">
        <v>0</v>
      </c>
    </row>
    <row r="29" spans="1:23">
      <c r="A29" s="2">
        <v>100</v>
      </c>
      <c r="B29" s="2" t="s">
        <v>23</v>
      </c>
      <c r="C29" s="22">
        <v>10</v>
      </c>
      <c r="D29" s="2">
        <v>10</v>
      </c>
      <c r="E29" s="2">
        <v>16</v>
      </c>
      <c r="F29" s="2">
        <v>4</v>
      </c>
      <c r="G29" s="2">
        <v>12</v>
      </c>
      <c r="H29" s="2">
        <v>3</v>
      </c>
      <c r="I29" s="2">
        <v>8</v>
      </c>
      <c r="J29" s="2">
        <v>8</v>
      </c>
      <c r="K29" s="2">
        <v>5</v>
      </c>
      <c r="L29" s="2">
        <v>11</v>
      </c>
      <c r="M29" s="2">
        <v>13</v>
      </c>
      <c r="N29" s="2">
        <v>8</v>
      </c>
      <c r="O29" s="2">
        <v>8</v>
      </c>
      <c r="P29" s="2">
        <v>2</v>
      </c>
      <c r="Q29" s="2">
        <v>2</v>
      </c>
      <c r="R29" s="2">
        <v>7</v>
      </c>
      <c r="S29" s="2">
        <v>6</v>
      </c>
      <c r="T29" s="2">
        <v>14</v>
      </c>
      <c r="U29" s="22">
        <v>7</v>
      </c>
      <c r="V29" s="22">
        <v>2</v>
      </c>
      <c r="W29" s="22">
        <v>4</v>
      </c>
    </row>
    <row r="30" spans="1:23">
      <c r="A30" s="2">
        <v>101</v>
      </c>
      <c r="B30" s="2" t="s">
        <v>24</v>
      </c>
      <c r="C30" s="22">
        <v>20</v>
      </c>
      <c r="D30" s="2">
        <v>12</v>
      </c>
      <c r="E30" s="2">
        <v>1</v>
      </c>
      <c r="F30" s="2">
        <v>1</v>
      </c>
      <c r="G30" s="2">
        <v>1</v>
      </c>
      <c r="H30" s="2">
        <v>3</v>
      </c>
      <c r="I30" s="2">
        <v>6</v>
      </c>
      <c r="J30" s="2">
        <v>9</v>
      </c>
      <c r="K30" s="2">
        <v>4</v>
      </c>
      <c r="L30" s="2">
        <v>10</v>
      </c>
      <c r="M30" s="2">
        <v>10</v>
      </c>
      <c r="N30" s="2">
        <v>9</v>
      </c>
      <c r="O30" s="2">
        <v>7</v>
      </c>
      <c r="P30" s="2">
        <v>12</v>
      </c>
      <c r="Q30" s="2">
        <v>4</v>
      </c>
      <c r="R30" s="2">
        <v>13</v>
      </c>
      <c r="S30" s="2">
        <v>13</v>
      </c>
      <c r="T30" s="2">
        <v>12</v>
      </c>
      <c r="U30" s="22">
        <v>5</v>
      </c>
      <c r="V30" s="22">
        <v>0</v>
      </c>
      <c r="W30">
        <v>1</v>
      </c>
    </row>
    <row r="31" spans="1:23">
      <c r="A31" s="2">
        <v>110</v>
      </c>
      <c r="B31" s="2" t="s">
        <v>25</v>
      </c>
      <c r="C31" s="22">
        <v>1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2">
        <v>0</v>
      </c>
      <c r="V31" s="22">
        <v>0</v>
      </c>
      <c r="W31" s="22">
        <v>0</v>
      </c>
    </row>
    <row r="32" spans="1:23">
      <c r="A32" s="2">
        <v>115</v>
      </c>
      <c r="B32" s="2" t="s">
        <v>26</v>
      </c>
      <c r="C32" s="2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1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2">
        <v>0</v>
      </c>
      <c r="V32" s="22">
        <v>0</v>
      </c>
      <c r="W32" s="22">
        <v>0</v>
      </c>
    </row>
    <row r="33" spans="1:23">
      <c r="A33" s="2">
        <v>130</v>
      </c>
      <c r="B33" s="2" t="s">
        <v>27</v>
      </c>
      <c r="C33" s="22">
        <v>1</v>
      </c>
      <c r="D33" s="2">
        <v>2</v>
      </c>
      <c r="E33" s="2">
        <v>3</v>
      </c>
      <c r="F33" s="2">
        <v>5</v>
      </c>
      <c r="G33" s="2">
        <v>1</v>
      </c>
      <c r="H33" s="2">
        <v>0</v>
      </c>
      <c r="I33" s="2">
        <v>1</v>
      </c>
      <c r="J33" s="2">
        <v>0</v>
      </c>
      <c r="K33" s="2">
        <v>0</v>
      </c>
      <c r="L33" s="2">
        <v>7</v>
      </c>
      <c r="M33" s="2">
        <v>2</v>
      </c>
      <c r="N33" s="2">
        <v>5</v>
      </c>
      <c r="O33" s="2">
        <v>1</v>
      </c>
      <c r="P33" s="2">
        <v>1</v>
      </c>
      <c r="Q33" s="2">
        <v>1</v>
      </c>
      <c r="R33" s="2">
        <v>0</v>
      </c>
      <c r="S33" s="2">
        <v>5</v>
      </c>
      <c r="T33" s="2">
        <v>1</v>
      </c>
      <c r="U33" s="22">
        <v>1</v>
      </c>
      <c r="V33" s="22">
        <v>0</v>
      </c>
      <c r="W33">
        <v>1</v>
      </c>
    </row>
    <row r="34" spans="1:23">
      <c r="A34" s="2">
        <v>135</v>
      </c>
      <c r="B34" s="2" t="s">
        <v>28</v>
      </c>
      <c r="C34" s="22">
        <v>4</v>
      </c>
      <c r="D34" s="2">
        <v>3</v>
      </c>
      <c r="E34" s="2">
        <v>1</v>
      </c>
      <c r="F34" s="2">
        <v>3</v>
      </c>
      <c r="G34" s="2">
        <v>8</v>
      </c>
      <c r="H34" s="2">
        <v>7</v>
      </c>
      <c r="I34" s="2">
        <v>14</v>
      </c>
      <c r="J34" s="2">
        <v>10</v>
      </c>
      <c r="K34" s="2">
        <v>5</v>
      </c>
      <c r="L34" s="2">
        <v>2</v>
      </c>
      <c r="M34" s="2">
        <v>5</v>
      </c>
      <c r="N34" s="2">
        <v>13</v>
      </c>
      <c r="O34" s="2">
        <v>11</v>
      </c>
      <c r="P34" s="2">
        <v>3</v>
      </c>
      <c r="Q34" s="2">
        <v>0</v>
      </c>
      <c r="R34" s="2">
        <v>8</v>
      </c>
      <c r="S34" s="2">
        <v>1</v>
      </c>
      <c r="T34" s="2">
        <v>3</v>
      </c>
      <c r="U34" s="22">
        <v>2</v>
      </c>
      <c r="V34" s="22">
        <v>0</v>
      </c>
      <c r="W34" s="22">
        <v>0</v>
      </c>
    </row>
    <row r="35" spans="1:23">
      <c r="A35" s="2">
        <v>140</v>
      </c>
      <c r="B35" s="2" t="s">
        <v>29</v>
      </c>
      <c r="C35" s="22">
        <v>13</v>
      </c>
      <c r="D35" s="2">
        <v>14</v>
      </c>
      <c r="E35" s="2">
        <v>16</v>
      </c>
      <c r="F35" s="2">
        <v>14</v>
      </c>
      <c r="G35" s="2">
        <v>29</v>
      </c>
      <c r="H35" s="2">
        <v>21</v>
      </c>
      <c r="I35" s="2">
        <v>42</v>
      </c>
      <c r="J35" s="2">
        <v>31</v>
      </c>
      <c r="K35" s="2">
        <v>31</v>
      </c>
      <c r="L35" s="2">
        <v>18</v>
      </c>
      <c r="M35" s="2">
        <v>12</v>
      </c>
      <c r="N35" s="2">
        <v>12</v>
      </c>
      <c r="O35" s="2">
        <v>14</v>
      </c>
      <c r="P35" s="2">
        <v>3</v>
      </c>
      <c r="Q35" s="2">
        <v>6</v>
      </c>
      <c r="R35" s="2">
        <v>14</v>
      </c>
      <c r="S35" s="2">
        <v>15</v>
      </c>
      <c r="T35" s="2">
        <v>6</v>
      </c>
      <c r="U35" s="22">
        <v>3</v>
      </c>
      <c r="V35" s="22">
        <v>1</v>
      </c>
      <c r="W35" s="22">
        <v>2</v>
      </c>
    </row>
    <row r="36" spans="1:23">
      <c r="A36" s="2">
        <v>145</v>
      </c>
      <c r="B36" s="2" t="s">
        <v>30</v>
      </c>
      <c r="C36" s="22">
        <v>1</v>
      </c>
      <c r="D36" s="2">
        <v>1</v>
      </c>
      <c r="E36" s="2">
        <v>2</v>
      </c>
      <c r="F36" s="2">
        <v>1</v>
      </c>
      <c r="G36" s="2">
        <v>0</v>
      </c>
      <c r="H36" s="2">
        <v>1</v>
      </c>
      <c r="I36" s="2">
        <v>7</v>
      </c>
      <c r="J36" s="2">
        <v>2</v>
      </c>
      <c r="K36" s="2">
        <v>1</v>
      </c>
      <c r="L36" s="2">
        <v>1</v>
      </c>
      <c r="M36" s="2">
        <v>1</v>
      </c>
      <c r="N36" s="2">
        <v>0</v>
      </c>
      <c r="O36" s="2">
        <v>0</v>
      </c>
      <c r="P36" s="2">
        <v>1</v>
      </c>
      <c r="Q36" s="2">
        <v>0</v>
      </c>
      <c r="R36" s="2">
        <v>1</v>
      </c>
      <c r="S36" s="2">
        <v>6</v>
      </c>
      <c r="T36" s="2">
        <v>1</v>
      </c>
      <c r="U36" s="22">
        <v>0</v>
      </c>
      <c r="V36" s="22">
        <v>0</v>
      </c>
      <c r="W36" s="22">
        <v>0</v>
      </c>
    </row>
    <row r="37" spans="1:23">
      <c r="A37" s="2">
        <v>150</v>
      </c>
      <c r="B37" s="2" t="s">
        <v>31</v>
      </c>
      <c r="C37" s="22">
        <v>0</v>
      </c>
      <c r="D37" s="2">
        <v>0</v>
      </c>
      <c r="E37" s="2">
        <v>0</v>
      </c>
      <c r="F37" s="2">
        <v>2</v>
      </c>
      <c r="G37" s="2">
        <v>3</v>
      </c>
      <c r="H37" s="2">
        <v>2</v>
      </c>
      <c r="I37" s="2">
        <v>1</v>
      </c>
      <c r="J37" s="2">
        <v>2</v>
      </c>
      <c r="K37" s="2">
        <v>0</v>
      </c>
      <c r="L37" s="2">
        <v>0</v>
      </c>
      <c r="M37" s="2">
        <v>0</v>
      </c>
      <c r="N37" s="2">
        <v>2</v>
      </c>
      <c r="O37" s="2">
        <v>0</v>
      </c>
      <c r="P37" s="2">
        <v>0</v>
      </c>
      <c r="Q37" s="2">
        <v>0</v>
      </c>
      <c r="R37" s="2">
        <v>3</v>
      </c>
      <c r="S37" s="2">
        <v>1</v>
      </c>
      <c r="T37" s="2">
        <v>1</v>
      </c>
      <c r="U37" s="22">
        <v>0</v>
      </c>
      <c r="V37" s="22">
        <v>0</v>
      </c>
      <c r="W37" s="22">
        <v>0</v>
      </c>
    </row>
    <row r="38" spans="1:23">
      <c r="A38" s="2">
        <v>155</v>
      </c>
      <c r="B38" s="2" t="s">
        <v>32</v>
      </c>
      <c r="C38" s="22">
        <v>11</v>
      </c>
      <c r="D38" s="2">
        <v>3</v>
      </c>
      <c r="E38" s="2">
        <v>11</v>
      </c>
      <c r="F38" s="2">
        <v>5</v>
      </c>
      <c r="G38" s="2">
        <v>9</v>
      </c>
      <c r="H38" s="2">
        <v>12</v>
      </c>
      <c r="I38" s="2">
        <v>16</v>
      </c>
      <c r="J38" s="2">
        <v>12</v>
      </c>
      <c r="K38" s="2">
        <v>12</v>
      </c>
      <c r="L38" s="2">
        <v>6</v>
      </c>
      <c r="M38" s="2">
        <v>10</v>
      </c>
      <c r="N38" s="2">
        <v>5</v>
      </c>
      <c r="O38" s="2">
        <v>3</v>
      </c>
      <c r="P38" s="2">
        <v>3</v>
      </c>
      <c r="Q38" s="2">
        <v>2</v>
      </c>
      <c r="R38" s="2">
        <v>8</v>
      </c>
      <c r="S38" s="2">
        <v>11</v>
      </c>
      <c r="T38" s="2">
        <v>3</v>
      </c>
      <c r="U38" s="22">
        <v>0</v>
      </c>
      <c r="V38" s="22">
        <v>0</v>
      </c>
      <c r="W38">
        <v>2</v>
      </c>
    </row>
    <row r="39" spans="1:23">
      <c r="A39" s="2">
        <v>160</v>
      </c>
      <c r="B39" s="2" t="s">
        <v>33</v>
      </c>
      <c r="C39" s="22">
        <v>10</v>
      </c>
      <c r="D39" s="2">
        <v>2</v>
      </c>
      <c r="E39" s="2">
        <v>5</v>
      </c>
      <c r="F39" s="2">
        <v>8</v>
      </c>
      <c r="G39" s="2">
        <v>17</v>
      </c>
      <c r="H39" s="2">
        <v>16</v>
      </c>
      <c r="I39" s="2">
        <v>23</v>
      </c>
      <c r="J39" s="2">
        <v>26</v>
      </c>
      <c r="K39" s="2">
        <v>17</v>
      </c>
      <c r="L39" s="2">
        <v>13</v>
      </c>
      <c r="M39" s="2">
        <v>15</v>
      </c>
      <c r="N39" s="2">
        <v>12</v>
      </c>
      <c r="O39" s="2">
        <v>11</v>
      </c>
      <c r="P39" s="2">
        <v>2</v>
      </c>
      <c r="Q39" s="2">
        <v>4</v>
      </c>
      <c r="R39" s="2">
        <v>11</v>
      </c>
      <c r="S39" s="2">
        <v>5</v>
      </c>
      <c r="T39" s="2">
        <v>0</v>
      </c>
      <c r="U39" s="22">
        <v>2</v>
      </c>
      <c r="V39" s="22">
        <v>1</v>
      </c>
      <c r="W39" s="22">
        <v>0</v>
      </c>
    </row>
    <row r="40" spans="1:23">
      <c r="A40" s="2">
        <v>165</v>
      </c>
      <c r="B40" s="2" t="s">
        <v>34</v>
      </c>
      <c r="C40" s="22">
        <v>6</v>
      </c>
      <c r="D40" s="2">
        <v>0</v>
      </c>
      <c r="E40" s="2">
        <v>1</v>
      </c>
      <c r="F40" s="2">
        <v>2</v>
      </c>
      <c r="G40" s="2">
        <v>2</v>
      </c>
      <c r="H40" s="2">
        <v>2</v>
      </c>
      <c r="I40" s="2">
        <v>2</v>
      </c>
      <c r="J40" s="2">
        <v>0</v>
      </c>
      <c r="K40" s="2">
        <v>1</v>
      </c>
      <c r="L40" s="2">
        <v>1</v>
      </c>
      <c r="M40" s="2">
        <v>1</v>
      </c>
      <c r="N40" s="2">
        <v>4</v>
      </c>
      <c r="O40" s="2">
        <v>2</v>
      </c>
      <c r="P40" s="2">
        <v>0</v>
      </c>
      <c r="Q40" s="2">
        <v>1</v>
      </c>
      <c r="R40" s="2">
        <v>0</v>
      </c>
      <c r="S40" s="2">
        <v>1</v>
      </c>
      <c r="T40" s="2">
        <v>7</v>
      </c>
      <c r="U40" s="22">
        <v>0</v>
      </c>
      <c r="V40" s="22">
        <v>0</v>
      </c>
      <c r="W40" s="22">
        <v>0</v>
      </c>
    </row>
    <row r="41" spans="1:23">
      <c r="A41" s="2">
        <v>200</v>
      </c>
      <c r="B41" s="2" t="s">
        <v>35</v>
      </c>
      <c r="C41" s="22">
        <v>70</v>
      </c>
      <c r="D41" s="2">
        <v>100</v>
      </c>
      <c r="E41" s="2">
        <v>82</v>
      </c>
      <c r="F41" s="2">
        <v>76</v>
      </c>
      <c r="G41" s="2">
        <v>71</v>
      </c>
      <c r="H41" s="2">
        <v>68</v>
      </c>
      <c r="I41" s="2">
        <v>64</v>
      </c>
      <c r="J41" s="2">
        <v>97</v>
      </c>
      <c r="K41" s="2">
        <v>96</v>
      </c>
      <c r="L41" s="2">
        <v>63</v>
      </c>
      <c r="M41" s="2">
        <v>91</v>
      </c>
      <c r="N41" s="2">
        <v>53</v>
      </c>
      <c r="O41" s="2">
        <v>39</v>
      </c>
      <c r="P41" s="2">
        <v>26</v>
      </c>
      <c r="Q41" s="2">
        <v>36</v>
      </c>
      <c r="R41" s="2">
        <v>79</v>
      </c>
      <c r="S41" s="2">
        <v>82</v>
      </c>
      <c r="T41" s="2">
        <v>67</v>
      </c>
      <c r="U41" s="22">
        <v>11</v>
      </c>
      <c r="V41" s="22">
        <v>12</v>
      </c>
      <c r="W41" s="22">
        <v>9</v>
      </c>
    </row>
    <row r="42" spans="1:23">
      <c r="A42" s="2">
        <v>205</v>
      </c>
      <c r="B42" s="2" t="s">
        <v>36</v>
      </c>
      <c r="C42" s="22">
        <v>5</v>
      </c>
      <c r="D42" s="2">
        <v>9</v>
      </c>
      <c r="E42" s="2">
        <v>1</v>
      </c>
      <c r="F42" s="2">
        <v>5</v>
      </c>
      <c r="G42" s="2">
        <v>4</v>
      </c>
      <c r="H42" s="2">
        <v>13</v>
      </c>
      <c r="I42" s="2">
        <v>13</v>
      </c>
      <c r="J42" s="2">
        <v>6</v>
      </c>
      <c r="K42" s="2">
        <v>7</v>
      </c>
      <c r="L42" s="2">
        <v>5</v>
      </c>
      <c r="M42" s="2">
        <v>6</v>
      </c>
      <c r="N42" s="2">
        <v>3</v>
      </c>
      <c r="O42" s="2">
        <v>4</v>
      </c>
      <c r="P42" s="2">
        <v>1</v>
      </c>
      <c r="Q42" s="2">
        <v>4</v>
      </c>
      <c r="R42" s="2">
        <v>4</v>
      </c>
      <c r="S42" s="2">
        <v>9</v>
      </c>
      <c r="T42" s="2">
        <v>1</v>
      </c>
      <c r="U42" s="22">
        <v>3</v>
      </c>
      <c r="V42" s="22">
        <v>0</v>
      </c>
      <c r="W42">
        <v>2</v>
      </c>
    </row>
    <row r="43" spans="1:23">
      <c r="A43" s="2">
        <v>210</v>
      </c>
      <c r="B43" s="2" t="s">
        <v>37</v>
      </c>
      <c r="C43" s="22">
        <v>7</v>
      </c>
      <c r="D43" s="2">
        <v>17</v>
      </c>
      <c r="E43" s="2">
        <v>7</v>
      </c>
      <c r="F43" s="2">
        <v>9</v>
      </c>
      <c r="G43" s="2">
        <v>11</v>
      </c>
      <c r="H43" s="2">
        <v>17</v>
      </c>
      <c r="I43" s="2">
        <v>20</v>
      </c>
      <c r="J43" s="2">
        <v>27</v>
      </c>
      <c r="K43" s="2">
        <v>19</v>
      </c>
      <c r="L43" s="2">
        <v>17</v>
      </c>
      <c r="M43" s="2">
        <v>11</v>
      </c>
      <c r="N43" s="2">
        <v>18</v>
      </c>
      <c r="O43" s="2">
        <v>5</v>
      </c>
      <c r="P43" s="2">
        <v>6</v>
      </c>
      <c r="Q43" s="2">
        <v>7</v>
      </c>
      <c r="R43" s="2">
        <v>25</v>
      </c>
      <c r="S43" s="2">
        <v>23</v>
      </c>
      <c r="T43" s="2">
        <v>4</v>
      </c>
      <c r="U43" s="22">
        <v>3</v>
      </c>
      <c r="V43" s="22">
        <v>3</v>
      </c>
      <c r="W43" s="22">
        <v>2</v>
      </c>
    </row>
    <row r="44" spans="1:23">
      <c r="A44" s="2">
        <v>211</v>
      </c>
      <c r="B44" s="2" t="s">
        <v>38</v>
      </c>
      <c r="C44" s="22">
        <v>17</v>
      </c>
      <c r="D44" s="2">
        <v>19</v>
      </c>
      <c r="E44" s="2">
        <v>15</v>
      </c>
      <c r="F44" s="2">
        <v>28</v>
      </c>
      <c r="G44" s="2">
        <v>31</v>
      </c>
      <c r="H44" s="2">
        <v>19</v>
      </c>
      <c r="I44" s="2">
        <v>29</v>
      </c>
      <c r="J44" s="2">
        <v>33</v>
      </c>
      <c r="K44" s="2">
        <v>21</v>
      </c>
      <c r="L44" s="2">
        <v>14</v>
      </c>
      <c r="M44" s="2">
        <v>8</v>
      </c>
      <c r="N44" s="2">
        <v>21</v>
      </c>
      <c r="O44" s="2">
        <v>9</v>
      </c>
      <c r="P44" s="2">
        <v>7</v>
      </c>
      <c r="Q44" s="2">
        <v>4</v>
      </c>
      <c r="R44" s="2">
        <v>44</v>
      </c>
      <c r="S44" s="2">
        <v>15</v>
      </c>
      <c r="T44" s="2">
        <v>21</v>
      </c>
      <c r="U44" s="22">
        <v>1</v>
      </c>
      <c r="V44" s="22">
        <v>2</v>
      </c>
      <c r="W44" s="22">
        <v>2</v>
      </c>
    </row>
    <row r="45" spans="1:23">
      <c r="A45" s="2">
        <v>212</v>
      </c>
      <c r="B45" s="2" t="s">
        <v>39</v>
      </c>
      <c r="C45" s="22">
        <v>0</v>
      </c>
      <c r="D45" s="2">
        <v>4</v>
      </c>
      <c r="E45" s="2">
        <v>1</v>
      </c>
      <c r="F45" s="2">
        <v>3</v>
      </c>
      <c r="G45" s="2">
        <v>0</v>
      </c>
      <c r="H45" s="2">
        <v>2</v>
      </c>
      <c r="I45" s="2">
        <v>1</v>
      </c>
      <c r="J45" s="2">
        <v>4</v>
      </c>
      <c r="K45" s="2">
        <v>2</v>
      </c>
      <c r="L45" s="2">
        <v>1</v>
      </c>
      <c r="M45" s="2">
        <v>0</v>
      </c>
      <c r="N45" s="2">
        <v>0</v>
      </c>
      <c r="O45" s="2">
        <v>0</v>
      </c>
      <c r="P45" s="2">
        <v>0</v>
      </c>
      <c r="Q45" s="2">
        <v>1</v>
      </c>
      <c r="R45" s="2">
        <v>9</v>
      </c>
      <c r="S45" s="2">
        <v>2</v>
      </c>
      <c r="T45" s="2">
        <v>1</v>
      </c>
      <c r="U45" s="22">
        <v>0</v>
      </c>
      <c r="V45" s="22">
        <v>0</v>
      </c>
      <c r="W45" s="22">
        <v>0</v>
      </c>
    </row>
    <row r="46" spans="1:23">
      <c r="A46" s="2">
        <v>220</v>
      </c>
      <c r="B46" s="2" t="s">
        <v>40</v>
      </c>
      <c r="C46" s="22">
        <v>68</v>
      </c>
      <c r="D46" s="2">
        <v>64</v>
      </c>
      <c r="E46" s="2">
        <v>68</v>
      </c>
      <c r="F46" s="2">
        <v>83</v>
      </c>
      <c r="G46" s="2">
        <v>89</v>
      </c>
      <c r="H46" s="2">
        <v>77</v>
      </c>
      <c r="I46" s="2">
        <v>84</v>
      </c>
      <c r="J46" s="2">
        <v>67</v>
      </c>
      <c r="K46" s="2">
        <v>68</v>
      </c>
      <c r="L46" s="2">
        <v>59</v>
      </c>
      <c r="M46" s="2">
        <v>45</v>
      </c>
      <c r="N46" s="2">
        <v>28</v>
      </c>
      <c r="O46" s="2">
        <v>20</v>
      </c>
      <c r="P46" s="2">
        <v>23</v>
      </c>
      <c r="Q46" s="2">
        <v>20</v>
      </c>
      <c r="R46" s="2">
        <v>109</v>
      </c>
      <c r="S46" s="2">
        <v>45</v>
      </c>
      <c r="T46" s="2">
        <v>48</v>
      </c>
      <c r="U46" s="22">
        <v>12</v>
      </c>
      <c r="V46" s="22">
        <v>9</v>
      </c>
      <c r="W46" s="22">
        <v>4</v>
      </c>
    </row>
    <row r="47" spans="1:23">
      <c r="A47" s="2">
        <v>221</v>
      </c>
      <c r="B47" s="2" t="s">
        <v>41</v>
      </c>
      <c r="C47" s="2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1</v>
      </c>
      <c r="R47" s="2">
        <v>1</v>
      </c>
      <c r="S47" s="2">
        <v>0</v>
      </c>
      <c r="T47" s="2">
        <v>0</v>
      </c>
      <c r="U47" s="22">
        <v>0</v>
      </c>
      <c r="V47" s="22">
        <v>0</v>
      </c>
      <c r="W47" s="22">
        <v>0</v>
      </c>
    </row>
    <row r="48" spans="1:23">
      <c r="A48" s="2">
        <v>223</v>
      </c>
      <c r="B48" s="2" t="s">
        <v>42</v>
      </c>
      <c r="C48" s="2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2">
        <v>0</v>
      </c>
      <c r="V48" s="22">
        <v>0</v>
      </c>
      <c r="W48" s="22">
        <v>0</v>
      </c>
    </row>
    <row r="49" spans="1:23">
      <c r="A49" s="2">
        <v>225</v>
      </c>
      <c r="B49" s="2" t="s">
        <v>43</v>
      </c>
      <c r="C49" s="22">
        <v>27</v>
      </c>
      <c r="D49" s="2">
        <v>18</v>
      </c>
      <c r="E49" s="2">
        <v>21</v>
      </c>
      <c r="F49" s="2">
        <v>34</v>
      </c>
      <c r="G49" s="2">
        <v>29</v>
      </c>
      <c r="H49" s="2">
        <v>23</v>
      </c>
      <c r="I49" s="2">
        <v>20</v>
      </c>
      <c r="J49" s="2">
        <v>20</v>
      </c>
      <c r="K49" s="2">
        <v>21</v>
      </c>
      <c r="L49" s="2">
        <v>16</v>
      </c>
      <c r="M49" s="2">
        <v>21</v>
      </c>
      <c r="N49" s="2">
        <v>5</v>
      </c>
      <c r="O49" s="2">
        <v>5</v>
      </c>
      <c r="P49" s="2">
        <v>8</v>
      </c>
      <c r="Q49" s="2">
        <v>2</v>
      </c>
      <c r="R49" s="2">
        <v>11</v>
      </c>
      <c r="S49" s="2">
        <v>0</v>
      </c>
      <c r="T49" s="2">
        <v>6</v>
      </c>
      <c r="U49" s="22">
        <v>4</v>
      </c>
      <c r="V49" s="22">
        <v>4</v>
      </c>
      <c r="W49" s="22">
        <v>3</v>
      </c>
    </row>
    <row r="50" spans="1:23">
      <c r="A50" s="2">
        <v>230</v>
      </c>
      <c r="B50" s="2" t="s">
        <v>44</v>
      </c>
      <c r="C50" s="22">
        <v>24</v>
      </c>
      <c r="D50" s="2">
        <v>33</v>
      </c>
      <c r="E50" s="2">
        <v>27</v>
      </c>
      <c r="F50" s="2">
        <v>16</v>
      </c>
      <c r="G50" s="2">
        <v>36</v>
      </c>
      <c r="H50" s="2">
        <v>16</v>
      </c>
      <c r="I50" s="2">
        <v>10</v>
      </c>
      <c r="J50" s="2">
        <v>10</v>
      </c>
      <c r="K50" s="2">
        <v>21</v>
      </c>
      <c r="L50" s="2">
        <v>16</v>
      </c>
      <c r="M50" s="2">
        <v>21</v>
      </c>
      <c r="N50" s="2">
        <v>14</v>
      </c>
      <c r="O50" s="2">
        <v>7</v>
      </c>
      <c r="P50" s="2">
        <v>12</v>
      </c>
      <c r="Q50" s="2">
        <v>15</v>
      </c>
      <c r="R50" s="2">
        <v>25</v>
      </c>
      <c r="S50" s="2">
        <v>29</v>
      </c>
      <c r="T50" s="2">
        <v>29</v>
      </c>
      <c r="U50" s="22">
        <v>0</v>
      </c>
      <c r="V50">
        <v>3</v>
      </c>
      <c r="W50">
        <v>2</v>
      </c>
    </row>
    <row r="51" spans="1:23">
      <c r="A51" s="2">
        <v>232</v>
      </c>
      <c r="B51" s="2" t="s">
        <v>45</v>
      </c>
      <c r="C51" s="2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2">
        <v>0</v>
      </c>
      <c r="V51" s="22">
        <v>0</v>
      </c>
      <c r="W51" s="22">
        <v>0</v>
      </c>
    </row>
    <row r="52" spans="1:23">
      <c r="A52" s="2">
        <v>235</v>
      </c>
      <c r="B52" s="2" t="s">
        <v>46</v>
      </c>
      <c r="C52" s="22">
        <v>19</v>
      </c>
      <c r="D52" s="2">
        <v>10</v>
      </c>
      <c r="E52" s="2">
        <v>19</v>
      </c>
      <c r="F52" s="2">
        <v>12</v>
      </c>
      <c r="G52" s="2">
        <v>8</v>
      </c>
      <c r="H52" s="2">
        <v>26</v>
      </c>
      <c r="I52" s="2">
        <v>21</v>
      </c>
      <c r="J52" s="2">
        <v>11</v>
      </c>
      <c r="K52" s="2">
        <v>7</v>
      </c>
      <c r="L52" s="2">
        <v>11</v>
      </c>
      <c r="M52" s="2">
        <v>8</v>
      </c>
      <c r="N52" s="2">
        <v>5</v>
      </c>
      <c r="O52" s="2">
        <v>1</v>
      </c>
      <c r="P52" s="2">
        <v>1</v>
      </c>
      <c r="Q52" s="2">
        <v>3</v>
      </c>
      <c r="R52" s="2">
        <v>3</v>
      </c>
      <c r="S52" s="2">
        <v>2</v>
      </c>
      <c r="T52" s="2">
        <v>15</v>
      </c>
      <c r="U52" s="22">
        <v>0</v>
      </c>
      <c r="V52">
        <v>1</v>
      </c>
      <c r="W52">
        <v>1</v>
      </c>
    </row>
    <row r="53" spans="1:23">
      <c r="A53" s="2">
        <v>255</v>
      </c>
      <c r="B53" s="2" t="s">
        <v>47</v>
      </c>
      <c r="C53" s="22">
        <v>52</v>
      </c>
      <c r="D53" s="2">
        <v>57</v>
      </c>
      <c r="E53" s="2">
        <v>40</v>
      </c>
      <c r="F53" s="2">
        <v>56</v>
      </c>
      <c r="G53" s="2">
        <v>63</v>
      </c>
      <c r="H53" s="2">
        <v>55</v>
      </c>
      <c r="I53" s="2">
        <v>47</v>
      </c>
      <c r="J53" s="2">
        <v>53</v>
      </c>
      <c r="K53" s="2">
        <v>42</v>
      </c>
      <c r="L53" s="2">
        <v>60</v>
      </c>
      <c r="M53" s="2">
        <v>38</v>
      </c>
      <c r="N53" s="2">
        <v>37</v>
      </c>
      <c r="O53" s="2">
        <v>17</v>
      </c>
      <c r="P53" s="2">
        <v>11</v>
      </c>
      <c r="Q53" s="2">
        <v>20</v>
      </c>
      <c r="R53" s="2">
        <v>56</v>
      </c>
      <c r="S53" s="2">
        <v>48</v>
      </c>
      <c r="T53" s="2">
        <v>28</v>
      </c>
      <c r="U53" s="22">
        <v>5</v>
      </c>
      <c r="V53" s="22">
        <v>9</v>
      </c>
      <c r="W53" s="22">
        <v>5</v>
      </c>
    </row>
    <row r="54" spans="1:23">
      <c r="A54" s="2">
        <v>290</v>
      </c>
      <c r="B54" s="2" t="s">
        <v>48</v>
      </c>
      <c r="C54" s="22">
        <v>17</v>
      </c>
      <c r="D54" s="2">
        <v>8</v>
      </c>
      <c r="E54" s="2">
        <v>12</v>
      </c>
      <c r="F54" s="2">
        <v>12</v>
      </c>
      <c r="G54" s="2">
        <v>15</v>
      </c>
      <c r="H54" s="2">
        <v>19</v>
      </c>
      <c r="I54" s="2">
        <v>19</v>
      </c>
      <c r="J54" s="2">
        <v>16</v>
      </c>
      <c r="K54" s="2">
        <v>9</v>
      </c>
      <c r="L54" s="2">
        <v>10</v>
      </c>
      <c r="M54" s="2">
        <v>11</v>
      </c>
      <c r="N54" s="2">
        <v>7</v>
      </c>
      <c r="O54" s="2">
        <v>3</v>
      </c>
      <c r="P54" s="2">
        <v>5</v>
      </c>
      <c r="Q54" s="2">
        <v>4</v>
      </c>
      <c r="R54" s="2">
        <v>24</v>
      </c>
      <c r="S54" s="2">
        <v>15</v>
      </c>
      <c r="T54" s="2">
        <v>18</v>
      </c>
      <c r="U54" s="22">
        <v>6</v>
      </c>
      <c r="V54" s="22">
        <v>1</v>
      </c>
      <c r="W54" s="22">
        <v>2</v>
      </c>
    </row>
    <row r="55" spans="1:23">
      <c r="A55" s="2">
        <v>305</v>
      </c>
      <c r="B55" s="2" t="s">
        <v>49</v>
      </c>
      <c r="C55" s="22">
        <v>10</v>
      </c>
      <c r="D55" s="2">
        <v>9</v>
      </c>
      <c r="E55" s="2">
        <v>13</v>
      </c>
      <c r="F55" s="2">
        <v>8</v>
      </c>
      <c r="G55" s="2">
        <v>11</v>
      </c>
      <c r="H55" s="2">
        <v>10</v>
      </c>
      <c r="I55" s="2">
        <v>6</v>
      </c>
      <c r="J55" s="2">
        <v>11</v>
      </c>
      <c r="K55" s="2">
        <v>17</v>
      </c>
      <c r="L55" s="2">
        <v>4</v>
      </c>
      <c r="M55" s="2">
        <v>9</v>
      </c>
      <c r="N55" s="2">
        <v>10</v>
      </c>
      <c r="O55" s="2">
        <v>3</v>
      </c>
      <c r="P55" s="2">
        <v>6</v>
      </c>
      <c r="Q55" s="2">
        <v>3</v>
      </c>
      <c r="R55" s="2">
        <v>3</v>
      </c>
      <c r="S55" s="2">
        <v>17</v>
      </c>
      <c r="T55" s="2">
        <v>8</v>
      </c>
      <c r="U55" s="22">
        <v>1</v>
      </c>
      <c r="V55" s="22">
        <v>1</v>
      </c>
      <c r="W55" s="22">
        <v>1</v>
      </c>
    </row>
    <row r="56" spans="1:23">
      <c r="A56" s="2">
        <v>310</v>
      </c>
      <c r="B56" s="2" t="s">
        <v>50</v>
      </c>
      <c r="C56" s="22">
        <v>21</v>
      </c>
      <c r="D56" s="2">
        <v>7</v>
      </c>
      <c r="E56" s="2">
        <v>13</v>
      </c>
      <c r="F56" s="2">
        <v>6</v>
      </c>
      <c r="G56" s="2">
        <v>7</v>
      </c>
      <c r="H56" s="2">
        <v>7</v>
      </c>
      <c r="I56" s="2">
        <v>14</v>
      </c>
      <c r="J56" s="2">
        <v>17</v>
      </c>
      <c r="K56" s="2">
        <v>11</v>
      </c>
      <c r="L56" s="2">
        <v>7</v>
      </c>
      <c r="M56" s="2">
        <v>2</v>
      </c>
      <c r="N56" s="2">
        <v>1</v>
      </c>
      <c r="O56" s="2">
        <v>2</v>
      </c>
      <c r="P56" s="2">
        <v>0</v>
      </c>
      <c r="Q56" s="2">
        <v>3</v>
      </c>
      <c r="R56" s="2">
        <v>3</v>
      </c>
      <c r="S56" s="2">
        <v>11</v>
      </c>
      <c r="T56" s="2">
        <v>4</v>
      </c>
      <c r="U56" s="22">
        <v>0</v>
      </c>
      <c r="V56" s="22">
        <v>0</v>
      </c>
      <c r="W56" s="22">
        <v>0</v>
      </c>
    </row>
    <row r="57" spans="1:23">
      <c r="A57" s="2">
        <v>316</v>
      </c>
      <c r="B57" s="2" t="s">
        <v>51</v>
      </c>
      <c r="C57" s="22">
        <v>0</v>
      </c>
      <c r="D57" s="2">
        <v>0</v>
      </c>
      <c r="E57" s="2">
        <v>0</v>
      </c>
      <c r="F57" s="2">
        <v>7</v>
      </c>
      <c r="G57" s="2">
        <v>22</v>
      </c>
      <c r="H57" s="2">
        <v>12</v>
      </c>
      <c r="I57" s="2">
        <v>8</v>
      </c>
      <c r="J57" s="2">
        <v>24</v>
      </c>
      <c r="K57" s="2">
        <v>3</v>
      </c>
      <c r="L57" s="2">
        <v>3</v>
      </c>
      <c r="M57" s="2">
        <v>2</v>
      </c>
      <c r="N57" s="2">
        <v>4</v>
      </c>
      <c r="O57" s="2">
        <v>3</v>
      </c>
      <c r="P57" s="2">
        <v>0</v>
      </c>
      <c r="Q57" s="2">
        <v>1</v>
      </c>
      <c r="R57" s="2">
        <v>1</v>
      </c>
      <c r="S57" s="2">
        <v>7</v>
      </c>
      <c r="T57" s="2">
        <v>6</v>
      </c>
      <c r="U57" s="22">
        <v>1</v>
      </c>
      <c r="V57" s="22">
        <v>2</v>
      </c>
      <c r="W57" s="22">
        <v>2</v>
      </c>
    </row>
    <row r="58" spans="1:23">
      <c r="A58" s="2">
        <v>317</v>
      </c>
      <c r="B58" s="2" t="s">
        <v>52</v>
      </c>
      <c r="C58" s="22">
        <v>0</v>
      </c>
      <c r="D58" s="2">
        <v>0</v>
      </c>
      <c r="E58" s="2">
        <v>0</v>
      </c>
      <c r="F58" s="2">
        <v>6</v>
      </c>
      <c r="G58" s="2">
        <v>5</v>
      </c>
      <c r="H58" s="2">
        <v>7</v>
      </c>
      <c r="I58" s="2">
        <v>2</v>
      </c>
      <c r="J58" s="2">
        <v>4</v>
      </c>
      <c r="K58" s="2">
        <v>1</v>
      </c>
      <c r="L58" s="2">
        <v>2</v>
      </c>
      <c r="M58" s="2">
        <v>1</v>
      </c>
      <c r="N58" s="2">
        <v>1</v>
      </c>
      <c r="O58" s="2">
        <v>1</v>
      </c>
      <c r="P58" s="2">
        <v>0</v>
      </c>
      <c r="Q58" s="2">
        <v>0</v>
      </c>
      <c r="R58" s="2">
        <v>12</v>
      </c>
      <c r="S58" s="2">
        <v>1</v>
      </c>
      <c r="T58" s="2">
        <v>1</v>
      </c>
      <c r="U58" s="22">
        <v>0</v>
      </c>
      <c r="V58" s="22">
        <v>0</v>
      </c>
      <c r="W58" s="22">
        <v>0</v>
      </c>
    </row>
    <row r="59" spans="1:23">
      <c r="A59" s="2">
        <v>325</v>
      </c>
      <c r="B59" s="2" t="s">
        <v>53</v>
      </c>
      <c r="C59" s="22">
        <v>25</v>
      </c>
      <c r="D59" s="2">
        <v>26</v>
      </c>
      <c r="E59" s="2">
        <v>20</v>
      </c>
      <c r="F59" s="2">
        <v>25</v>
      </c>
      <c r="G59" s="2">
        <v>41</v>
      </c>
      <c r="H59" s="2">
        <v>19</v>
      </c>
      <c r="I59" s="2">
        <v>33</v>
      </c>
      <c r="J59" s="2">
        <v>29</v>
      </c>
      <c r="K59" s="2">
        <v>30</v>
      </c>
      <c r="L59" s="2">
        <v>33</v>
      </c>
      <c r="M59" s="2">
        <v>28</v>
      </c>
      <c r="N59" s="2">
        <v>26</v>
      </c>
      <c r="O59" s="2">
        <v>11</v>
      </c>
      <c r="P59" s="2">
        <v>9</v>
      </c>
      <c r="Q59" s="2">
        <v>11</v>
      </c>
      <c r="R59" s="2">
        <v>33</v>
      </c>
      <c r="S59" s="2">
        <v>20</v>
      </c>
      <c r="T59" s="2">
        <v>31</v>
      </c>
      <c r="U59" s="22">
        <v>6</v>
      </c>
      <c r="V59" s="22">
        <v>5</v>
      </c>
      <c r="W59" s="22">
        <v>2</v>
      </c>
    </row>
    <row r="60" spans="1:23">
      <c r="A60" s="2">
        <v>331</v>
      </c>
      <c r="B60" s="2" t="s">
        <v>54</v>
      </c>
      <c r="C60" s="2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1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2">
        <v>0</v>
      </c>
      <c r="V60" s="22">
        <v>0</v>
      </c>
      <c r="W60" s="22">
        <v>0</v>
      </c>
    </row>
    <row r="61" spans="1:23">
      <c r="A61" s="2">
        <v>338</v>
      </c>
      <c r="B61" s="2" t="s">
        <v>55</v>
      </c>
      <c r="C61" s="22">
        <v>1</v>
      </c>
      <c r="D61" s="2">
        <v>2</v>
      </c>
      <c r="E61" s="2">
        <v>2</v>
      </c>
      <c r="F61" s="2">
        <v>1</v>
      </c>
      <c r="G61" s="2">
        <v>3</v>
      </c>
      <c r="H61" s="2">
        <v>3</v>
      </c>
      <c r="I61" s="2">
        <v>5</v>
      </c>
      <c r="J61" s="2">
        <v>3</v>
      </c>
      <c r="K61" s="2">
        <v>3</v>
      </c>
      <c r="L61" s="2">
        <v>0</v>
      </c>
      <c r="M61" s="2">
        <v>2</v>
      </c>
      <c r="N61" s="2">
        <v>6</v>
      </c>
      <c r="O61" s="2">
        <v>1</v>
      </c>
      <c r="P61" s="2">
        <v>0</v>
      </c>
      <c r="Q61" s="2">
        <v>1</v>
      </c>
      <c r="R61" s="2">
        <v>0</v>
      </c>
      <c r="S61" s="2">
        <v>1</v>
      </c>
      <c r="T61" s="2">
        <v>3</v>
      </c>
      <c r="U61" s="22">
        <v>0</v>
      </c>
      <c r="V61">
        <v>1</v>
      </c>
      <c r="W61" s="22">
        <v>0</v>
      </c>
    </row>
    <row r="62" spans="1:23">
      <c r="A62" s="2">
        <v>339</v>
      </c>
      <c r="B62" s="2" t="s">
        <v>56</v>
      </c>
      <c r="C62" s="22">
        <v>3</v>
      </c>
      <c r="D62" s="2">
        <v>15</v>
      </c>
      <c r="E62" s="2">
        <v>6</v>
      </c>
      <c r="F62" s="2">
        <v>8</v>
      </c>
      <c r="G62" s="2">
        <v>3</v>
      </c>
      <c r="H62" s="2">
        <v>8</v>
      </c>
      <c r="I62" s="2">
        <v>3</v>
      </c>
      <c r="J62" s="2">
        <v>17</v>
      </c>
      <c r="K62" s="2">
        <v>9</v>
      </c>
      <c r="L62" s="2">
        <v>22</v>
      </c>
      <c r="M62" s="2">
        <v>2</v>
      </c>
      <c r="N62" s="2">
        <v>3</v>
      </c>
      <c r="O62" s="2">
        <v>0</v>
      </c>
      <c r="P62" s="2">
        <v>1</v>
      </c>
      <c r="Q62" s="2">
        <v>0</v>
      </c>
      <c r="R62" s="2">
        <v>3</v>
      </c>
      <c r="S62" s="2">
        <v>1</v>
      </c>
      <c r="T62" s="2">
        <v>7</v>
      </c>
      <c r="U62" s="22">
        <v>2</v>
      </c>
      <c r="V62" s="22">
        <v>0</v>
      </c>
      <c r="W62" s="22">
        <v>0</v>
      </c>
    </row>
    <row r="63" spans="1:23">
      <c r="A63" s="2">
        <v>343</v>
      </c>
      <c r="B63" s="2" t="s">
        <v>57</v>
      </c>
      <c r="C63" s="22">
        <v>0</v>
      </c>
      <c r="D63" s="2">
        <v>0</v>
      </c>
      <c r="E63" s="2">
        <v>0</v>
      </c>
      <c r="F63" s="2">
        <v>9</v>
      </c>
      <c r="G63" s="2">
        <v>5</v>
      </c>
      <c r="H63" s="2">
        <v>2</v>
      </c>
      <c r="I63" s="2">
        <v>6</v>
      </c>
      <c r="J63" s="2">
        <v>1</v>
      </c>
      <c r="K63" s="2">
        <v>1</v>
      </c>
      <c r="L63" s="2">
        <v>26</v>
      </c>
      <c r="M63" s="2">
        <v>2</v>
      </c>
      <c r="N63" s="2">
        <v>12</v>
      </c>
      <c r="O63" s="2">
        <v>0</v>
      </c>
      <c r="P63" s="2">
        <v>0</v>
      </c>
      <c r="Q63" s="2">
        <v>1</v>
      </c>
      <c r="R63" s="2">
        <v>0</v>
      </c>
      <c r="S63" s="2">
        <v>0</v>
      </c>
      <c r="T63" s="2">
        <v>0</v>
      </c>
      <c r="U63" s="22">
        <v>0</v>
      </c>
      <c r="V63" s="22">
        <v>0</v>
      </c>
      <c r="W63" s="22">
        <v>0</v>
      </c>
    </row>
    <row r="64" spans="1:23">
      <c r="A64" s="2">
        <v>344</v>
      </c>
      <c r="B64" s="2" t="s">
        <v>58</v>
      </c>
      <c r="C64" s="22">
        <v>0</v>
      </c>
      <c r="D64" s="2">
        <v>13</v>
      </c>
      <c r="E64" s="2">
        <v>21</v>
      </c>
      <c r="F64" s="2">
        <v>25</v>
      </c>
      <c r="G64" s="2">
        <v>27</v>
      </c>
      <c r="H64" s="2">
        <v>37</v>
      </c>
      <c r="I64" s="2">
        <v>22</v>
      </c>
      <c r="J64" s="2">
        <v>5</v>
      </c>
      <c r="K64" s="2">
        <v>7</v>
      </c>
      <c r="L64" s="2">
        <v>1</v>
      </c>
      <c r="M64" s="2">
        <v>9</v>
      </c>
      <c r="N64" s="2">
        <v>6</v>
      </c>
      <c r="O64" s="2">
        <v>1</v>
      </c>
      <c r="P64" s="2">
        <v>6</v>
      </c>
      <c r="Q64" s="2">
        <v>3</v>
      </c>
      <c r="R64" s="2">
        <v>8</v>
      </c>
      <c r="S64" s="2">
        <v>5</v>
      </c>
      <c r="T64" s="2">
        <v>5</v>
      </c>
      <c r="U64" s="22">
        <v>3</v>
      </c>
      <c r="V64" s="22">
        <v>1</v>
      </c>
      <c r="W64" s="22">
        <v>0</v>
      </c>
    </row>
    <row r="65" spans="1:23">
      <c r="A65" s="2">
        <v>345</v>
      </c>
      <c r="B65" s="2" t="s">
        <v>59</v>
      </c>
      <c r="C65" s="22">
        <v>7</v>
      </c>
      <c r="D65" s="2">
        <v>32</v>
      </c>
      <c r="E65" s="2">
        <v>21</v>
      </c>
      <c r="F65" s="2">
        <v>24</v>
      </c>
      <c r="G65" s="2">
        <v>29</v>
      </c>
      <c r="H65" s="2">
        <v>53</v>
      </c>
      <c r="I65" s="2">
        <v>48</v>
      </c>
      <c r="J65" s="2">
        <v>5</v>
      </c>
      <c r="K65" s="2">
        <v>41</v>
      </c>
      <c r="L65" s="2">
        <v>107</v>
      </c>
      <c r="M65" s="2">
        <v>30</v>
      </c>
      <c r="N65" s="2">
        <v>19</v>
      </c>
      <c r="O65" s="2">
        <v>6</v>
      </c>
      <c r="P65" s="2">
        <v>1</v>
      </c>
      <c r="Q65" s="2">
        <v>2</v>
      </c>
      <c r="R65" s="2">
        <v>18</v>
      </c>
      <c r="S65" s="2">
        <v>5</v>
      </c>
      <c r="T65" s="2">
        <v>8</v>
      </c>
      <c r="U65" s="22">
        <v>1</v>
      </c>
      <c r="V65" s="22">
        <v>1</v>
      </c>
      <c r="W65" s="22">
        <v>0</v>
      </c>
    </row>
    <row r="66" spans="1:23">
      <c r="A66" s="2">
        <v>346</v>
      </c>
      <c r="B66" s="2" t="s">
        <v>60</v>
      </c>
      <c r="C66" s="22">
        <v>0</v>
      </c>
      <c r="D66" s="2">
        <v>0</v>
      </c>
      <c r="E66" s="2">
        <v>24</v>
      </c>
      <c r="F66" s="2">
        <v>41</v>
      </c>
      <c r="G66" s="2">
        <v>48</v>
      </c>
      <c r="H66" s="2">
        <v>67</v>
      </c>
      <c r="I66" s="2">
        <v>70</v>
      </c>
      <c r="J66" s="2">
        <v>24</v>
      </c>
      <c r="K66" s="2">
        <v>12</v>
      </c>
      <c r="L66" s="2">
        <v>11</v>
      </c>
      <c r="M66" s="2">
        <v>7</v>
      </c>
      <c r="N66" s="2">
        <v>5</v>
      </c>
      <c r="O66" s="2">
        <v>3</v>
      </c>
      <c r="P66" s="2">
        <v>2</v>
      </c>
      <c r="Q66" s="2">
        <v>1</v>
      </c>
      <c r="R66" s="2">
        <v>12</v>
      </c>
      <c r="S66" s="2">
        <v>3</v>
      </c>
      <c r="T66" s="2">
        <v>3</v>
      </c>
      <c r="U66" s="22">
        <v>1</v>
      </c>
      <c r="V66" s="22">
        <v>1</v>
      </c>
      <c r="W66" s="22">
        <v>0</v>
      </c>
    </row>
    <row r="67" spans="1:23">
      <c r="A67" s="2">
        <v>349</v>
      </c>
      <c r="B67" s="2" t="s">
        <v>61</v>
      </c>
      <c r="C67" s="22">
        <v>0</v>
      </c>
      <c r="D67" s="2">
        <v>1</v>
      </c>
      <c r="E67" s="2">
        <v>0</v>
      </c>
      <c r="F67" s="2">
        <v>7</v>
      </c>
      <c r="G67" s="2">
        <v>1</v>
      </c>
      <c r="H67" s="2">
        <v>0</v>
      </c>
      <c r="I67" s="2">
        <v>2</v>
      </c>
      <c r="J67" s="2">
        <v>2</v>
      </c>
      <c r="K67" s="2">
        <v>0</v>
      </c>
      <c r="L67" s="2">
        <v>4</v>
      </c>
      <c r="M67" s="2">
        <v>1</v>
      </c>
      <c r="N67" s="2">
        <v>3</v>
      </c>
      <c r="O67" s="2">
        <v>1</v>
      </c>
      <c r="P67" s="2">
        <v>1</v>
      </c>
      <c r="Q67" s="2">
        <v>0</v>
      </c>
      <c r="R67" s="2">
        <v>0</v>
      </c>
      <c r="S67" s="2">
        <v>2</v>
      </c>
      <c r="T67" s="2">
        <v>0</v>
      </c>
      <c r="U67" s="22">
        <v>1</v>
      </c>
      <c r="V67" s="22">
        <v>0</v>
      </c>
      <c r="W67" s="22">
        <v>0</v>
      </c>
    </row>
    <row r="68" spans="1:23">
      <c r="A68" s="2">
        <v>350</v>
      </c>
      <c r="B68" s="2" t="s">
        <v>62</v>
      </c>
      <c r="C68" s="22">
        <v>7</v>
      </c>
      <c r="D68" s="2">
        <v>12</v>
      </c>
      <c r="E68" s="2">
        <v>8</v>
      </c>
      <c r="F68" s="2">
        <v>10</v>
      </c>
      <c r="G68" s="2">
        <v>8</v>
      </c>
      <c r="H68" s="2">
        <v>16</v>
      </c>
      <c r="I68" s="2">
        <v>16</v>
      </c>
      <c r="J68" s="2">
        <v>15</v>
      </c>
      <c r="K68" s="2">
        <v>20</v>
      </c>
      <c r="L68" s="2">
        <v>16</v>
      </c>
      <c r="M68" s="2">
        <v>17</v>
      </c>
      <c r="N68" s="2">
        <v>8</v>
      </c>
      <c r="O68" s="2">
        <v>1</v>
      </c>
      <c r="P68" s="2">
        <v>5</v>
      </c>
      <c r="Q68" s="2">
        <v>14</v>
      </c>
      <c r="R68" s="2">
        <v>13</v>
      </c>
      <c r="S68" s="2">
        <v>20</v>
      </c>
      <c r="T68" s="2">
        <v>7</v>
      </c>
      <c r="U68" s="22">
        <v>2</v>
      </c>
      <c r="V68" s="22">
        <v>1</v>
      </c>
      <c r="W68" s="22">
        <v>1</v>
      </c>
    </row>
    <row r="69" spans="1:23">
      <c r="A69" s="2">
        <v>352</v>
      </c>
      <c r="B69" s="2" t="s">
        <v>63</v>
      </c>
      <c r="C69" s="22">
        <v>7</v>
      </c>
      <c r="D69" s="2">
        <v>9</v>
      </c>
      <c r="E69" s="2">
        <v>2</v>
      </c>
      <c r="F69" s="2">
        <v>7</v>
      </c>
      <c r="G69" s="2">
        <v>7</v>
      </c>
      <c r="H69" s="2">
        <v>11</v>
      </c>
      <c r="I69" s="2">
        <v>13</v>
      </c>
      <c r="J69" s="2">
        <v>11</v>
      </c>
      <c r="K69" s="2">
        <v>9</v>
      </c>
      <c r="L69" s="2">
        <v>3</v>
      </c>
      <c r="M69" s="2">
        <v>6</v>
      </c>
      <c r="N69" s="2">
        <v>6</v>
      </c>
      <c r="O69" s="2">
        <v>2</v>
      </c>
      <c r="P69" s="2">
        <v>2</v>
      </c>
      <c r="Q69" s="2">
        <v>0</v>
      </c>
      <c r="R69" s="2">
        <v>9</v>
      </c>
      <c r="S69" s="2">
        <v>15</v>
      </c>
      <c r="T69" s="2">
        <v>2</v>
      </c>
      <c r="U69" s="22">
        <v>1</v>
      </c>
      <c r="V69" s="22">
        <v>0</v>
      </c>
      <c r="W69" s="22">
        <v>0</v>
      </c>
    </row>
    <row r="70" spans="1:23">
      <c r="A70" s="2">
        <v>355</v>
      </c>
      <c r="B70" s="2" t="s">
        <v>64</v>
      </c>
      <c r="C70" s="22">
        <v>6</v>
      </c>
      <c r="D70" s="2">
        <v>9</v>
      </c>
      <c r="E70" s="2">
        <v>5</v>
      </c>
      <c r="F70" s="2">
        <v>15</v>
      </c>
      <c r="G70" s="2">
        <v>14</v>
      </c>
      <c r="H70" s="2">
        <v>14</v>
      </c>
      <c r="I70" s="2">
        <v>7</v>
      </c>
      <c r="J70" s="2">
        <v>10</v>
      </c>
      <c r="K70" s="2">
        <v>10</v>
      </c>
      <c r="L70" s="2">
        <v>16</v>
      </c>
      <c r="M70" s="2">
        <v>4</v>
      </c>
      <c r="N70" s="2">
        <v>3</v>
      </c>
      <c r="O70" s="2">
        <v>2</v>
      </c>
      <c r="P70" s="2">
        <v>3</v>
      </c>
      <c r="Q70" s="2">
        <v>1</v>
      </c>
      <c r="R70" s="2">
        <v>1</v>
      </c>
      <c r="S70" s="2">
        <v>4</v>
      </c>
      <c r="T70" s="2">
        <v>17</v>
      </c>
      <c r="U70" s="22">
        <v>0</v>
      </c>
      <c r="V70" s="22">
        <v>0</v>
      </c>
      <c r="W70" s="22">
        <v>0</v>
      </c>
    </row>
    <row r="71" spans="1:23">
      <c r="A71" s="2">
        <v>359</v>
      </c>
      <c r="B71" s="2" t="s">
        <v>65</v>
      </c>
      <c r="C71" s="22">
        <v>0</v>
      </c>
      <c r="D71" s="2">
        <v>1</v>
      </c>
      <c r="E71" s="2">
        <v>2</v>
      </c>
      <c r="F71" s="2">
        <v>0</v>
      </c>
      <c r="G71" s="2">
        <v>1</v>
      </c>
      <c r="H71" s="2">
        <v>1</v>
      </c>
      <c r="I71" s="2">
        <v>1</v>
      </c>
      <c r="J71" s="2">
        <v>1</v>
      </c>
      <c r="K71" s="2">
        <v>1</v>
      </c>
      <c r="L71" s="2">
        <v>0</v>
      </c>
      <c r="M71" s="2">
        <v>3</v>
      </c>
      <c r="N71" s="2">
        <v>3</v>
      </c>
      <c r="O71" s="2">
        <v>0</v>
      </c>
      <c r="P71" s="2">
        <v>0</v>
      </c>
      <c r="Q71" s="2">
        <v>0</v>
      </c>
      <c r="R71" s="2">
        <v>2</v>
      </c>
      <c r="S71" s="2">
        <v>0</v>
      </c>
      <c r="T71" s="2">
        <v>2</v>
      </c>
      <c r="U71" s="22">
        <v>1</v>
      </c>
      <c r="V71" s="22">
        <v>0</v>
      </c>
      <c r="W71" s="22">
        <v>0</v>
      </c>
    </row>
    <row r="72" spans="1:23">
      <c r="A72" s="2">
        <v>360</v>
      </c>
      <c r="B72" s="2" t="s">
        <v>66</v>
      </c>
      <c r="C72" s="22">
        <v>19</v>
      </c>
      <c r="D72" s="2">
        <v>11</v>
      </c>
      <c r="E72" s="2">
        <v>7</v>
      </c>
      <c r="F72" s="2">
        <v>36</v>
      </c>
      <c r="G72" s="2">
        <v>42</v>
      </c>
      <c r="H72" s="2">
        <v>15</v>
      </c>
      <c r="I72" s="2">
        <v>20</v>
      </c>
      <c r="J72" s="2">
        <v>13</v>
      </c>
      <c r="K72" s="2">
        <v>4</v>
      </c>
      <c r="L72" s="2">
        <v>8</v>
      </c>
      <c r="M72" s="2">
        <v>8</v>
      </c>
      <c r="N72" s="2">
        <v>3</v>
      </c>
      <c r="O72" s="2">
        <v>5</v>
      </c>
      <c r="P72" s="2">
        <v>0</v>
      </c>
      <c r="Q72" s="2">
        <v>6</v>
      </c>
      <c r="R72" s="2">
        <v>9</v>
      </c>
      <c r="S72" s="2">
        <v>2</v>
      </c>
      <c r="T72" s="2">
        <v>5</v>
      </c>
      <c r="U72" s="22">
        <v>3</v>
      </c>
      <c r="V72" s="22">
        <v>1</v>
      </c>
      <c r="W72" s="22">
        <v>2</v>
      </c>
    </row>
    <row r="73" spans="1:23">
      <c r="A73" s="2">
        <v>365</v>
      </c>
      <c r="B73" s="2" t="s">
        <v>67</v>
      </c>
      <c r="C73" s="22">
        <v>30</v>
      </c>
      <c r="D73" s="2">
        <v>99</v>
      </c>
      <c r="E73" s="2">
        <v>74</v>
      </c>
      <c r="F73" s="2">
        <v>65</v>
      </c>
      <c r="G73" s="2">
        <v>91</v>
      </c>
      <c r="H73" s="2">
        <v>79</v>
      </c>
      <c r="I73" s="2">
        <v>73</v>
      </c>
      <c r="J73" s="2">
        <v>97</v>
      </c>
      <c r="K73" s="2">
        <v>124</v>
      </c>
      <c r="L73" s="2">
        <v>107</v>
      </c>
      <c r="M73" s="2">
        <v>123</v>
      </c>
      <c r="N73" s="2">
        <v>95</v>
      </c>
      <c r="O73" s="2">
        <v>58</v>
      </c>
      <c r="P73" s="2">
        <v>29</v>
      </c>
      <c r="Q73" s="2">
        <v>18</v>
      </c>
      <c r="R73" s="2">
        <v>139</v>
      </c>
      <c r="S73" s="2">
        <v>153</v>
      </c>
      <c r="T73" s="2">
        <v>109</v>
      </c>
      <c r="U73" s="22">
        <v>23</v>
      </c>
      <c r="V73" s="22">
        <v>16</v>
      </c>
      <c r="W73" s="22">
        <v>11</v>
      </c>
    </row>
    <row r="74" spans="1:23">
      <c r="A74" s="2">
        <v>366</v>
      </c>
      <c r="B74" s="2" t="s">
        <v>68</v>
      </c>
      <c r="C74" s="22">
        <v>0</v>
      </c>
      <c r="D74" s="2">
        <v>3</v>
      </c>
      <c r="E74" s="2">
        <v>4</v>
      </c>
      <c r="F74" s="2">
        <v>1</v>
      </c>
      <c r="G74" s="2">
        <v>3</v>
      </c>
      <c r="H74" s="2">
        <v>3</v>
      </c>
      <c r="I74" s="2">
        <v>2</v>
      </c>
      <c r="J74" s="2">
        <v>1</v>
      </c>
      <c r="K74" s="2">
        <v>1</v>
      </c>
      <c r="L74" s="2">
        <v>1</v>
      </c>
      <c r="M74" s="2">
        <v>2</v>
      </c>
      <c r="N74" s="2">
        <v>3</v>
      </c>
      <c r="O74" s="2">
        <v>0</v>
      </c>
      <c r="P74" s="2">
        <v>0</v>
      </c>
      <c r="Q74" s="2">
        <v>0</v>
      </c>
      <c r="R74" s="2">
        <v>4</v>
      </c>
      <c r="S74" s="2">
        <v>13</v>
      </c>
      <c r="T74" s="2">
        <v>4</v>
      </c>
      <c r="U74" s="22">
        <v>0</v>
      </c>
      <c r="V74" s="22">
        <v>0</v>
      </c>
      <c r="W74" s="22">
        <v>0</v>
      </c>
    </row>
    <row r="75" spans="1:23">
      <c r="A75" s="2">
        <v>367</v>
      </c>
      <c r="B75" s="2" t="s">
        <v>69</v>
      </c>
      <c r="C75" s="22">
        <v>0</v>
      </c>
      <c r="D75" s="2">
        <v>0</v>
      </c>
      <c r="E75" s="2">
        <v>4</v>
      </c>
      <c r="F75" s="2">
        <v>4</v>
      </c>
      <c r="G75" s="2">
        <v>5</v>
      </c>
      <c r="H75" s="2">
        <v>3</v>
      </c>
      <c r="I75" s="2">
        <v>1</v>
      </c>
      <c r="J75" s="2">
        <v>3</v>
      </c>
      <c r="K75" s="2">
        <v>2</v>
      </c>
      <c r="L75" s="2">
        <v>1</v>
      </c>
      <c r="M75" s="2">
        <v>2</v>
      </c>
      <c r="N75" s="2">
        <v>1</v>
      </c>
      <c r="O75" s="2">
        <v>1</v>
      </c>
      <c r="P75" s="2">
        <v>0</v>
      </c>
      <c r="Q75" s="2">
        <v>1</v>
      </c>
      <c r="R75" s="2">
        <v>11</v>
      </c>
      <c r="S75" s="2">
        <v>9</v>
      </c>
      <c r="T75" s="2">
        <v>0</v>
      </c>
      <c r="U75" s="22">
        <v>0</v>
      </c>
      <c r="V75" s="22">
        <v>0</v>
      </c>
      <c r="W75" s="22">
        <v>0</v>
      </c>
    </row>
    <row r="76" spans="1:23">
      <c r="A76" s="2">
        <v>368</v>
      </c>
      <c r="B76" s="2" t="s">
        <v>70</v>
      </c>
      <c r="C76" s="22">
        <v>0</v>
      </c>
      <c r="D76" s="2">
        <v>0</v>
      </c>
      <c r="E76" s="2">
        <v>7</v>
      </c>
      <c r="F76" s="2">
        <v>0</v>
      </c>
      <c r="G76" s="2">
        <v>4</v>
      </c>
      <c r="H76" s="2">
        <v>2</v>
      </c>
      <c r="I76" s="2">
        <v>2</v>
      </c>
      <c r="J76" s="2">
        <v>2</v>
      </c>
      <c r="K76" s="2">
        <v>8</v>
      </c>
      <c r="L76" s="2">
        <v>3</v>
      </c>
      <c r="M76" s="2">
        <v>1</v>
      </c>
      <c r="N76" s="2">
        <v>0</v>
      </c>
      <c r="O76" s="2">
        <v>0</v>
      </c>
      <c r="P76" s="2">
        <v>0</v>
      </c>
      <c r="Q76" s="2">
        <v>0</v>
      </c>
      <c r="R76" s="2">
        <v>7</v>
      </c>
      <c r="S76" s="2">
        <v>1</v>
      </c>
      <c r="T76" s="2">
        <v>1</v>
      </c>
      <c r="U76" s="22">
        <v>1</v>
      </c>
      <c r="V76" s="22">
        <v>0</v>
      </c>
      <c r="W76" s="22">
        <v>0</v>
      </c>
    </row>
    <row r="77" spans="1:23">
      <c r="A77" s="2">
        <v>369</v>
      </c>
      <c r="B77" s="2" t="s">
        <v>71</v>
      </c>
      <c r="C77" s="22">
        <v>0</v>
      </c>
      <c r="D77" s="2">
        <v>0</v>
      </c>
      <c r="E77" s="2">
        <v>8</v>
      </c>
      <c r="F77" s="2">
        <v>14</v>
      </c>
      <c r="G77" s="2">
        <v>11</v>
      </c>
      <c r="H77" s="2">
        <v>11</v>
      </c>
      <c r="I77" s="2">
        <v>11</v>
      </c>
      <c r="J77" s="2">
        <v>9</v>
      </c>
      <c r="K77" s="2">
        <v>23</v>
      </c>
      <c r="L77" s="2">
        <v>26</v>
      </c>
      <c r="M77" s="2">
        <v>25</v>
      </c>
      <c r="N77" s="2">
        <v>6</v>
      </c>
      <c r="O77" s="2">
        <v>8</v>
      </c>
      <c r="P77" s="2">
        <v>0</v>
      </c>
      <c r="Q77" s="2">
        <v>10</v>
      </c>
      <c r="R77" s="2">
        <v>32</v>
      </c>
      <c r="S77" s="2">
        <v>15</v>
      </c>
      <c r="T77" s="2">
        <v>9</v>
      </c>
      <c r="U77" s="22">
        <v>4</v>
      </c>
      <c r="V77" s="22">
        <v>4</v>
      </c>
      <c r="W77" s="22">
        <v>1</v>
      </c>
    </row>
    <row r="78" spans="1:23">
      <c r="A78" s="2">
        <v>370</v>
      </c>
      <c r="B78" s="2" t="s">
        <v>72</v>
      </c>
      <c r="C78" s="22">
        <v>0</v>
      </c>
      <c r="D78" s="2">
        <v>1</v>
      </c>
      <c r="E78" s="2">
        <v>2</v>
      </c>
      <c r="F78" s="2">
        <v>1</v>
      </c>
      <c r="G78" s="2">
        <v>2</v>
      </c>
      <c r="H78" s="2">
        <v>3</v>
      </c>
      <c r="I78" s="2">
        <v>5</v>
      </c>
      <c r="J78" s="2">
        <v>2</v>
      </c>
      <c r="K78" s="2">
        <v>6</v>
      </c>
      <c r="L78" s="2">
        <v>3</v>
      </c>
      <c r="M78" s="2">
        <v>4</v>
      </c>
      <c r="N78" s="2">
        <v>3</v>
      </c>
      <c r="O78" s="2">
        <v>1</v>
      </c>
      <c r="P78" s="2">
        <v>0</v>
      </c>
      <c r="Q78" s="2">
        <v>1</v>
      </c>
      <c r="R78" s="2">
        <v>0</v>
      </c>
      <c r="S78" s="2">
        <v>5</v>
      </c>
      <c r="T78" s="2">
        <v>5</v>
      </c>
      <c r="U78" s="22">
        <v>0</v>
      </c>
      <c r="V78" s="22">
        <v>0</v>
      </c>
      <c r="W78">
        <v>1</v>
      </c>
    </row>
    <row r="79" spans="1:23">
      <c r="A79" s="2">
        <v>371</v>
      </c>
      <c r="B79" s="2" t="s">
        <v>73</v>
      </c>
      <c r="C79" s="2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1</v>
      </c>
      <c r="J79" s="2">
        <v>0</v>
      </c>
      <c r="K79" s="2">
        <v>0</v>
      </c>
      <c r="L79" s="2">
        <v>1</v>
      </c>
      <c r="M79" s="2">
        <v>1</v>
      </c>
      <c r="N79" s="2">
        <v>1</v>
      </c>
      <c r="O79" s="2">
        <v>1</v>
      </c>
      <c r="P79" s="2">
        <v>0</v>
      </c>
      <c r="Q79" s="2">
        <v>0</v>
      </c>
      <c r="R79" s="2">
        <v>0</v>
      </c>
      <c r="S79" s="2">
        <v>1</v>
      </c>
      <c r="T79" s="2">
        <v>2</v>
      </c>
      <c r="U79" s="22">
        <v>0</v>
      </c>
      <c r="V79" s="22">
        <v>0</v>
      </c>
      <c r="W79" s="22">
        <v>0</v>
      </c>
    </row>
    <row r="80" spans="1:23">
      <c r="A80" s="2">
        <v>372</v>
      </c>
      <c r="B80" s="2" t="s">
        <v>74</v>
      </c>
      <c r="C80" s="22">
        <v>0</v>
      </c>
      <c r="D80" s="2">
        <v>0</v>
      </c>
      <c r="E80" s="2">
        <v>6</v>
      </c>
      <c r="F80" s="2">
        <v>0</v>
      </c>
      <c r="G80" s="2">
        <v>6</v>
      </c>
      <c r="H80" s="2">
        <v>3</v>
      </c>
      <c r="I80" s="2">
        <v>3</v>
      </c>
      <c r="J80" s="2">
        <v>4</v>
      </c>
      <c r="K80" s="2">
        <v>4</v>
      </c>
      <c r="L80" s="2">
        <v>0</v>
      </c>
      <c r="M80" s="2">
        <v>5</v>
      </c>
      <c r="N80" s="2">
        <v>3</v>
      </c>
      <c r="O80" s="2">
        <v>0</v>
      </c>
      <c r="P80" s="2">
        <v>4</v>
      </c>
      <c r="Q80" s="2">
        <v>2</v>
      </c>
      <c r="R80" s="2">
        <v>11</v>
      </c>
      <c r="S80" s="2">
        <v>1</v>
      </c>
      <c r="T80" s="2">
        <v>4</v>
      </c>
      <c r="U80" s="22">
        <v>16</v>
      </c>
      <c r="V80" s="22">
        <v>2</v>
      </c>
      <c r="W80" s="22">
        <v>0</v>
      </c>
    </row>
    <row r="81" spans="1:23">
      <c r="A81" s="2">
        <v>373</v>
      </c>
      <c r="B81" s="2" t="s">
        <v>75</v>
      </c>
      <c r="C81" s="22">
        <v>0</v>
      </c>
      <c r="D81" s="2">
        <v>1</v>
      </c>
      <c r="E81" s="2">
        <v>8</v>
      </c>
      <c r="F81" s="2">
        <v>9</v>
      </c>
      <c r="G81" s="2">
        <v>3</v>
      </c>
      <c r="H81" s="2">
        <v>9</v>
      </c>
      <c r="I81" s="2">
        <v>2</v>
      </c>
      <c r="J81" s="2">
        <v>10</v>
      </c>
      <c r="K81" s="2">
        <v>0</v>
      </c>
      <c r="L81" s="2">
        <v>6</v>
      </c>
      <c r="M81" s="2">
        <v>4</v>
      </c>
      <c r="N81" s="2">
        <v>7</v>
      </c>
      <c r="O81" s="2">
        <v>0</v>
      </c>
      <c r="P81" s="2">
        <v>0</v>
      </c>
      <c r="Q81" s="2">
        <v>0</v>
      </c>
      <c r="R81" s="2">
        <v>0</v>
      </c>
      <c r="S81" s="2">
        <v>2</v>
      </c>
      <c r="T81" s="2">
        <v>5</v>
      </c>
      <c r="U81" s="22">
        <v>1</v>
      </c>
      <c r="V81" s="22">
        <v>0</v>
      </c>
      <c r="W81" s="22">
        <v>0</v>
      </c>
    </row>
    <row r="82" spans="1:23">
      <c r="A82" s="2">
        <v>375</v>
      </c>
      <c r="B82" s="2" t="s">
        <v>76</v>
      </c>
      <c r="C82" s="22">
        <v>6</v>
      </c>
      <c r="D82" s="2">
        <v>3</v>
      </c>
      <c r="E82" s="2">
        <v>13</v>
      </c>
      <c r="F82" s="2">
        <v>8</v>
      </c>
      <c r="G82" s="2">
        <v>7</v>
      </c>
      <c r="H82" s="2">
        <v>6</v>
      </c>
      <c r="I82" s="2">
        <v>8</v>
      </c>
      <c r="J82" s="2">
        <v>8</v>
      </c>
      <c r="K82" s="2">
        <v>6</v>
      </c>
      <c r="L82" s="2">
        <v>22</v>
      </c>
      <c r="M82" s="2">
        <v>4</v>
      </c>
      <c r="N82" s="2">
        <v>9</v>
      </c>
      <c r="O82" s="2">
        <v>1</v>
      </c>
      <c r="P82" s="2">
        <v>0</v>
      </c>
      <c r="Q82" s="2">
        <v>0</v>
      </c>
      <c r="R82" s="2">
        <v>27</v>
      </c>
      <c r="S82" s="2">
        <v>10</v>
      </c>
      <c r="T82" s="2">
        <v>3</v>
      </c>
      <c r="U82" s="22">
        <v>0</v>
      </c>
      <c r="V82" s="22">
        <v>0</v>
      </c>
      <c r="W82" s="22">
        <v>0</v>
      </c>
    </row>
    <row r="83" spans="1:23">
      <c r="A83" s="2">
        <v>380</v>
      </c>
      <c r="B83" s="2" t="s">
        <v>77</v>
      </c>
      <c r="C83" s="22">
        <v>14</v>
      </c>
      <c r="D83" s="2">
        <v>4</v>
      </c>
      <c r="E83" s="2">
        <v>9</v>
      </c>
      <c r="F83" s="2">
        <v>15</v>
      </c>
      <c r="G83" s="2">
        <v>6</v>
      </c>
      <c r="H83" s="2">
        <v>8</v>
      </c>
      <c r="I83" s="2">
        <v>5</v>
      </c>
      <c r="J83" s="2">
        <v>8</v>
      </c>
      <c r="K83" s="2">
        <v>4</v>
      </c>
      <c r="L83" s="2">
        <v>10</v>
      </c>
      <c r="M83" s="2">
        <v>6</v>
      </c>
      <c r="N83" s="2">
        <v>11</v>
      </c>
      <c r="O83" s="2">
        <v>2</v>
      </c>
      <c r="P83" s="2">
        <v>1</v>
      </c>
      <c r="Q83" s="2">
        <v>1</v>
      </c>
      <c r="R83" s="2">
        <v>3</v>
      </c>
      <c r="S83" s="2">
        <v>6</v>
      </c>
      <c r="T83" s="2">
        <v>9</v>
      </c>
      <c r="U83" s="22">
        <v>0</v>
      </c>
      <c r="V83">
        <v>2</v>
      </c>
      <c r="W83" s="22">
        <v>0</v>
      </c>
    </row>
    <row r="84" spans="1:23">
      <c r="A84" s="2">
        <v>385</v>
      </c>
      <c r="B84" s="2" t="s">
        <v>78</v>
      </c>
      <c r="C84" s="22">
        <v>10</v>
      </c>
      <c r="D84" s="2">
        <v>8</v>
      </c>
      <c r="E84" s="2">
        <v>2</v>
      </c>
      <c r="F84" s="2">
        <v>6</v>
      </c>
      <c r="G84" s="2">
        <v>9</v>
      </c>
      <c r="H84" s="2">
        <v>7</v>
      </c>
      <c r="I84" s="2">
        <v>9</v>
      </c>
      <c r="J84" s="2">
        <v>8</v>
      </c>
      <c r="K84" s="2">
        <v>7</v>
      </c>
      <c r="L84" s="2">
        <v>13</v>
      </c>
      <c r="M84" s="2">
        <v>14</v>
      </c>
      <c r="N84" s="2">
        <v>10</v>
      </c>
      <c r="O84" s="2">
        <v>3</v>
      </c>
      <c r="P84" s="2">
        <v>3</v>
      </c>
      <c r="Q84" s="2">
        <v>2</v>
      </c>
      <c r="R84" s="2">
        <v>10</v>
      </c>
      <c r="S84" s="2">
        <v>8</v>
      </c>
      <c r="T84" s="2">
        <v>1</v>
      </c>
      <c r="U84" s="22">
        <v>0</v>
      </c>
      <c r="V84">
        <v>2</v>
      </c>
      <c r="W84" s="22">
        <v>0</v>
      </c>
    </row>
    <row r="85" spans="1:23">
      <c r="A85" s="2">
        <v>390</v>
      </c>
      <c r="B85" s="2" t="s">
        <v>79</v>
      </c>
      <c r="C85" s="22">
        <v>3</v>
      </c>
      <c r="D85" s="2">
        <v>3</v>
      </c>
      <c r="E85" s="2">
        <v>2</v>
      </c>
      <c r="F85" s="2">
        <v>5</v>
      </c>
      <c r="G85" s="2">
        <v>1</v>
      </c>
      <c r="H85" s="2">
        <v>12</v>
      </c>
      <c r="I85" s="2">
        <v>4</v>
      </c>
      <c r="J85" s="2">
        <v>7</v>
      </c>
      <c r="K85" s="2">
        <v>2</v>
      </c>
      <c r="L85" s="2">
        <v>2</v>
      </c>
      <c r="M85" s="2">
        <v>2</v>
      </c>
      <c r="N85" s="2">
        <v>2</v>
      </c>
      <c r="O85" s="2">
        <v>4</v>
      </c>
      <c r="P85" s="2">
        <v>0</v>
      </c>
      <c r="Q85" s="2">
        <v>0</v>
      </c>
      <c r="R85" s="2">
        <v>5</v>
      </c>
      <c r="S85" s="2">
        <v>3</v>
      </c>
      <c r="T85" s="2">
        <v>2</v>
      </c>
      <c r="U85" s="22">
        <v>2</v>
      </c>
      <c r="V85" s="22">
        <v>13</v>
      </c>
      <c r="W85" s="22">
        <v>2</v>
      </c>
    </row>
    <row r="86" spans="1:23">
      <c r="A86" s="2">
        <v>395</v>
      </c>
      <c r="B86" s="2" t="s">
        <v>80</v>
      </c>
      <c r="C86" s="22">
        <v>1</v>
      </c>
      <c r="D86" s="2">
        <v>0</v>
      </c>
      <c r="E86" s="2">
        <v>1</v>
      </c>
      <c r="F86" s="2">
        <v>1</v>
      </c>
      <c r="G86" s="2">
        <v>0</v>
      </c>
      <c r="H86" s="2">
        <v>0</v>
      </c>
      <c r="I86" s="2">
        <v>0</v>
      </c>
      <c r="J86" s="2">
        <v>0</v>
      </c>
      <c r="K86" s="2">
        <v>2</v>
      </c>
      <c r="L86" s="2">
        <v>0</v>
      </c>
      <c r="M86" s="2">
        <v>0</v>
      </c>
      <c r="N86" s="2">
        <v>0</v>
      </c>
      <c r="O86" s="2">
        <v>1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2">
        <v>0</v>
      </c>
      <c r="V86" s="22">
        <v>0</v>
      </c>
      <c r="W86" s="22">
        <v>0</v>
      </c>
    </row>
    <row r="87" spans="1:23">
      <c r="A87" s="2">
        <v>402</v>
      </c>
      <c r="B87" s="2" t="s">
        <v>81</v>
      </c>
      <c r="C87" s="22">
        <v>0</v>
      </c>
      <c r="D87" s="2">
        <v>1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1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1</v>
      </c>
      <c r="S87" s="2">
        <v>3</v>
      </c>
      <c r="T87" s="2">
        <v>0</v>
      </c>
      <c r="U87" s="22">
        <v>0</v>
      </c>
      <c r="V87" s="22">
        <v>0</v>
      </c>
      <c r="W87" s="22">
        <v>0</v>
      </c>
    </row>
    <row r="88" spans="1:23">
      <c r="A88" s="2">
        <v>403</v>
      </c>
      <c r="B88" s="2" t="s">
        <v>82</v>
      </c>
      <c r="C88" s="22">
        <v>0</v>
      </c>
      <c r="D88" s="2">
        <v>0</v>
      </c>
      <c r="E88" s="2">
        <v>0</v>
      </c>
      <c r="F88" s="2">
        <v>1</v>
      </c>
      <c r="G88" s="2">
        <v>0</v>
      </c>
      <c r="H88" s="2">
        <v>3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2">
        <v>0</v>
      </c>
      <c r="V88" s="22">
        <v>0</v>
      </c>
      <c r="W88" s="22">
        <v>0</v>
      </c>
    </row>
    <row r="89" spans="1:23">
      <c r="A89" s="2">
        <v>404</v>
      </c>
      <c r="B89" s="2" t="s">
        <v>83</v>
      </c>
      <c r="C89" s="22">
        <v>1</v>
      </c>
      <c r="D89" s="2">
        <v>0</v>
      </c>
      <c r="E89" s="2">
        <v>0</v>
      </c>
      <c r="F89" s="2">
        <v>0</v>
      </c>
      <c r="G89" s="2">
        <v>0</v>
      </c>
      <c r="H89" s="2">
        <v>2</v>
      </c>
      <c r="I89" s="2">
        <v>1</v>
      </c>
      <c r="J89" s="2">
        <v>0</v>
      </c>
      <c r="K89" s="2">
        <v>2</v>
      </c>
      <c r="L89" s="2">
        <v>1</v>
      </c>
      <c r="M89" s="2">
        <v>1</v>
      </c>
      <c r="N89" s="2">
        <v>0</v>
      </c>
      <c r="O89" s="2">
        <v>0</v>
      </c>
      <c r="P89" s="2">
        <v>0</v>
      </c>
      <c r="Q89" s="2">
        <v>0</v>
      </c>
      <c r="R89" s="2">
        <v>6</v>
      </c>
      <c r="S89" s="2">
        <v>1</v>
      </c>
      <c r="T89" s="2">
        <v>1</v>
      </c>
      <c r="U89" s="22">
        <v>0</v>
      </c>
      <c r="V89" s="22">
        <v>0</v>
      </c>
      <c r="W89" s="22">
        <v>0</v>
      </c>
    </row>
    <row r="90" spans="1:23">
      <c r="A90" s="2">
        <v>411</v>
      </c>
      <c r="B90" s="2" t="s">
        <v>84</v>
      </c>
      <c r="C90" s="22">
        <v>0</v>
      </c>
      <c r="D90" s="2">
        <v>1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1</v>
      </c>
      <c r="R90" s="2">
        <v>2</v>
      </c>
      <c r="S90" s="2">
        <v>0</v>
      </c>
      <c r="T90" s="2">
        <v>3</v>
      </c>
      <c r="U90" s="22">
        <v>0</v>
      </c>
      <c r="V90" s="22">
        <v>0</v>
      </c>
      <c r="W90" s="22">
        <v>0</v>
      </c>
    </row>
    <row r="91" spans="1:23">
      <c r="A91" s="2">
        <v>420</v>
      </c>
      <c r="B91" s="2" t="s">
        <v>85</v>
      </c>
      <c r="C91" s="22">
        <v>4</v>
      </c>
      <c r="D91" s="2">
        <v>3</v>
      </c>
      <c r="E91" s="2">
        <v>0</v>
      </c>
      <c r="F91" s="2">
        <v>0</v>
      </c>
      <c r="G91" s="2">
        <v>2</v>
      </c>
      <c r="H91" s="2">
        <v>1</v>
      </c>
      <c r="I91" s="2">
        <v>0</v>
      </c>
      <c r="J91" s="2">
        <v>3</v>
      </c>
      <c r="K91" s="2">
        <v>5</v>
      </c>
      <c r="L91" s="2">
        <v>4</v>
      </c>
      <c r="M91" s="2">
        <v>1</v>
      </c>
      <c r="N91" s="2">
        <v>0</v>
      </c>
      <c r="O91" s="2">
        <v>0</v>
      </c>
      <c r="P91" s="2">
        <v>0</v>
      </c>
      <c r="Q91" s="2">
        <v>0</v>
      </c>
      <c r="R91" s="2">
        <v>4</v>
      </c>
      <c r="S91" s="2">
        <v>10</v>
      </c>
      <c r="T91" s="2">
        <v>0</v>
      </c>
      <c r="U91" s="22">
        <v>0</v>
      </c>
      <c r="V91">
        <v>1</v>
      </c>
      <c r="W91" s="22">
        <v>0</v>
      </c>
    </row>
    <row r="92" spans="1:23">
      <c r="A92" s="2">
        <v>432</v>
      </c>
      <c r="B92" s="2" t="s">
        <v>86</v>
      </c>
      <c r="C92" s="22">
        <v>2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4</v>
      </c>
      <c r="J92" s="2">
        <v>7</v>
      </c>
      <c r="K92" s="2">
        <v>0</v>
      </c>
      <c r="L92" s="2">
        <v>1</v>
      </c>
      <c r="M92" s="2">
        <v>0</v>
      </c>
      <c r="N92" s="2">
        <v>3</v>
      </c>
      <c r="O92" s="2">
        <v>0</v>
      </c>
      <c r="P92" s="2">
        <v>2</v>
      </c>
      <c r="Q92" s="2">
        <v>0</v>
      </c>
      <c r="R92" s="2">
        <v>5</v>
      </c>
      <c r="S92" s="2">
        <v>10</v>
      </c>
      <c r="T92" s="2">
        <v>4</v>
      </c>
      <c r="U92" s="22">
        <v>0</v>
      </c>
      <c r="V92">
        <v>2</v>
      </c>
      <c r="W92" s="22">
        <v>0</v>
      </c>
    </row>
    <row r="93" spans="1:23">
      <c r="A93" s="2">
        <v>433</v>
      </c>
      <c r="B93" s="2" t="s">
        <v>87</v>
      </c>
      <c r="C93" s="22">
        <v>4</v>
      </c>
      <c r="D93" s="2">
        <v>4</v>
      </c>
      <c r="E93" s="2">
        <v>5</v>
      </c>
      <c r="F93" s="2">
        <v>4</v>
      </c>
      <c r="G93" s="2">
        <v>6</v>
      </c>
      <c r="H93" s="2">
        <v>5</v>
      </c>
      <c r="I93" s="2">
        <v>1</v>
      </c>
      <c r="J93" s="2">
        <v>9</v>
      </c>
      <c r="K93" s="2">
        <v>4</v>
      </c>
      <c r="L93" s="2">
        <v>2</v>
      </c>
      <c r="M93" s="2">
        <v>3</v>
      </c>
      <c r="N93" s="2">
        <v>2</v>
      </c>
      <c r="O93" s="2">
        <v>5</v>
      </c>
      <c r="P93" s="2">
        <v>2</v>
      </c>
      <c r="Q93" s="2">
        <v>0</v>
      </c>
      <c r="R93" s="2">
        <v>10</v>
      </c>
      <c r="S93" s="2">
        <v>11</v>
      </c>
      <c r="T93" s="2">
        <v>3</v>
      </c>
      <c r="U93" s="22">
        <v>0</v>
      </c>
      <c r="V93" s="22">
        <v>0</v>
      </c>
      <c r="W93" s="22">
        <v>0</v>
      </c>
    </row>
    <row r="94" spans="1:23">
      <c r="A94" s="2">
        <v>434</v>
      </c>
      <c r="B94" s="2" t="s">
        <v>88</v>
      </c>
      <c r="C94" s="22">
        <v>0</v>
      </c>
      <c r="D94" s="2">
        <v>0</v>
      </c>
      <c r="E94" s="2">
        <v>0</v>
      </c>
      <c r="F94" s="2">
        <v>1</v>
      </c>
      <c r="G94" s="2">
        <v>0</v>
      </c>
      <c r="H94" s="2">
        <v>1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1</v>
      </c>
      <c r="O94" s="2">
        <v>0</v>
      </c>
      <c r="P94" s="2">
        <v>0</v>
      </c>
      <c r="Q94" s="2">
        <v>0</v>
      </c>
      <c r="R94" s="2">
        <v>1</v>
      </c>
      <c r="S94" s="2">
        <v>8</v>
      </c>
      <c r="T94" s="2">
        <v>0</v>
      </c>
      <c r="U94" s="22">
        <v>1</v>
      </c>
      <c r="V94" s="22">
        <v>0</v>
      </c>
      <c r="W94" s="22">
        <v>0</v>
      </c>
    </row>
    <row r="95" spans="1:23">
      <c r="A95" s="2">
        <v>435</v>
      </c>
      <c r="B95" s="2" t="s">
        <v>89</v>
      </c>
      <c r="C95" s="22">
        <v>5</v>
      </c>
      <c r="D95" s="2">
        <v>1</v>
      </c>
      <c r="E95" s="2">
        <v>2</v>
      </c>
      <c r="F95" s="2">
        <v>2</v>
      </c>
      <c r="G95" s="2">
        <v>1</v>
      </c>
      <c r="H95" s="2">
        <v>2</v>
      </c>
      <c r="I95" s="2">
        <v>2</v>
      </c>
      <c r="J95" s="2">
        <v>2</v>
      </c>
      <c r="K95" s="2">
        <v>1</v>
      </c>
      <c r="L95" s="2">
        <v>1</v>
      </c>
      <c r="M95" s="2">
        <v>5</v>
      </c>
      <c r="N95" s="2">
        <v>0</v>
      </c>
      <c r="O95" s="2">
        <v>1</v>
      </c>
      <c r="P95" s="2">
        <v>0</v>
      </c>
      <c r="Q95" s="2">
        <v>1</v>
      </c>
      <c r="R95" s="2">
        <v>5</v>
      </c>
      <c r="S95" s="2">
        <v>6</v>
      </c>
      <c r="T95" s="2">
        <v>5</v>
      </c>
      <c r="U95" s="22">
        <v>0</v>
      </c>
      <c r="V95" s="22">
        <v>0</v>
      </c>
      <c r="W95" s="22">
        <v>0</v>
      </c>
    </row>
    <row r="96" spans="1:23">
      <c r="A96" s="2">
        <v>436</v>
      </c>
      <c r="B96" s="2" t="s">
        <v>90</v>
      </c>
      <c r="C96" s="22">
        <v>0</v>
      </c>
      <c r="D96" s="2">
        <v>0</v>
      </c>
      <c r="E96" s="2">
        <v>1</v>
      </c>
      <c r="F96" s="2">
        <v>4</v>
      </c>
      <c r="G96" s="2">
        <v>3</v>
      </c>
      <c r="H96" s="2">
        <v>1</v>
      </c>
      <c r="I96" s="2">
        <v>0</v>
      </c>
      <c r="J96" s="2">
        <v>1</v>
      </c>
      <c r="K96" s="2">
        <v>3</v>
      </c>
      <c r="L96" s="2">
        <v>0</v>
      </c>
      <c r="M96" s="2">
        <v>1</v>
      </c>
      <c r="N96" s="2">
        <v>0</v>
      </c>
      <c r="O96" s="2">
        <v>0</v>
      </c>
      <c r="P96" s="2">
        <v>1</v>
      </c>
      <c r="Q96" s="2">
        <v>0</v>
      </c>
      <c r="R96" s="2">
        <v>7</v>
      </c>
      <c r="S96" s="2">
        <v>4</v>
      </c>
      <c r="T96" s="2">
        <v>2</v>
      </c>
      <c r="U96" s="22">
        <v>0</v>
      </c>
      <c r="V96" s="22">
        <v>0</v>
      </c>
      <c r="W96" s="22">
        <v>0</v>
      </c>
    </row>
    <row r="97" spans="1:23">
      <c r="A97" s="2">
        <v>437</v>
      </c>
      <c r="B97" s="2" t="s">
        <v>91</v>
      </c>
      <c r="C97" s="22">
        <v>2</v>
      </c>
      <c r="D97" s="2">
        <v>9</v>
      </c>
      <c r="E97" s="2">
        <v>6</v>
      </c>
      <c r="F97" s="2">
        <v>11</v>
      </c>
      <c r="G97" s="2">
        <v>13</v>
      </c>
      <c r="H97" s="2">
        <v>7</v>
      </c>
      <c r="I97" s="2">
        <v>3</v>
      </c>
      <c r="J97" s="2">
        <v>6</v>
      </c>
      <c r="K97" s="2">
        <v>5</v>
      </c>
      <c r="L97" s="2">
        <v>7</v>
      </c>
      <c r="M97" s="2">
        <v>4</v>
      </c>
      <c r="N97" s="2">
        <v>1</v>
      </c>
      <c r="O97" s="2">
        <v>5</v>
      </c>
      <c r="P97" s="2">
        <v>6</v>
      </c>
      <c r="Q97" s="2">
        <v>6</v>
      </c>
      <c r="R97" s="2">
        <v>34</v>
      </c>
      <c r="S97" s="2">
        <v>11</v>
      </c>
      <c r="T97" s="2">
        <v>4</v>
      </c>
      <c r="U97" s="22">
        <v>0</v>
      </c>
      <c r="V97" s="22">
        <v>0</v>
      </c>
      <c r="W97" s="22">
        <v>0</v>
      </c>
    </row>
    <row r="98" spans="1:23">
      <c r="A98" s="2">
        <v>438</v>
      </c>
      <c r="B98" s="2" t="s">
        <v>92</v>
      </c>
      <c r="C98" s="22">
        <v>0</v>
      </c>
      <c r="D98" s="2">
        <v>1</v>
      </c>
      <c r="E98" s="2">
        <v>1</v>
      </c>
      <c r="F98" s="2">
        <v>1</v>
      </c>
      <c r="G98" s="2">
        <v>1</v>
      </c>
      <c r="H98" s="2">
        <v>0</v>
      </c>
      <c r="I98" s="2">
        <v>5</v>
      </c>
      <c r="J98" s="2">
        <v>2</v>
      </c>
      <c r="K98" s="2">
        <v>0</v>
      </c>
      <c r="L98" s="2">
        <v>6</v>
      </c>
      <c r="M98" s="2">
        <v>1</v>
      </c>
      <c r="N98" s="2">
        <v>1</v>
      </c>
      <c r="O98" s="2">
        <v>0</v>
      </c>
      <c r="P98" s="2">
        <v>2</v>
      </c>
      <c r="Q98" s="2">
        <v>0</v>
      </c>
      <c r="R98" s="2">
        <v>0</v>
      </c>
      <c r="S98" s="2">
        <v>4</v>
      </c>
      <c r="T98" s="2">
        <v>6</v>
      </c>
      <c r="U98" s="22">
        <v>0</v>
      </c>
      <c r="V98">
        <v>1</v>
      </c>
      <c r="W98" s="22">
        <v>0</v>
      </c>
    </row>
    <row r="99" spans="1:23">
      <c r="A99" s="2">
        <v>439</v>
      </c>
      <c r="B99" s="2" t="s">
        <v>93</v>
      </c>
      <c r="C99" s="22">
        <v>0</v>
      </c>
      <c r="D99" s="2">
        <v>0</v>
      </c>
      <c r="E99" s="2">
        <v>0</v>
      </c>
      <c r="F99" s="2">
        <v>3</v>
      </c>
      <c r="G99" s="2">
        <v>2</v>
      </c>
      <c r="H99" s="2">
        <v>2</v>
      </c>
      <c r="I99" s="2">
        <v>0</v>
      </c>
      <c r="J99" s="2">
        <v>2</v>
      </c>
      <c r="K99" s="2">
        <v>5</v>
      </c>
      <c r="L99" s="2">
        <v>3</v>
      </c>
      <c r="M99" s="2">
        <v>1</v>
      </c>
      <c r="N99" s="2">
        <v>0</v>
      </c>
      <c r="O99" s="2">
        <v>0</v>
      </c>
      <c r="P99" s="2">
        <v>0</v>
      </c>
      <c r="Q99" s="2">
        <v>1</v>
      </c>
      <c r="R99" s="2">
        <v>2</v>
      </c>
      <c r="S99" s="2">
        <v>1</v>
      </c>
      <c r="T99" s="2">
        <v>2</v>
      </c>
      <c r="U99" s="22">
        <v>0</v>
      </c>
      <c r="V99" s="22">
        <v>0</v>
      </c>
      <c r="W99">
        <v>1</v>
      </c>
    </row>
    <row r="100" spans="1:23">
      <c r="A100" s="2">
        <v>450</v>
      </c>
      <c r="B100" s="2" t="s">
        <v>94</v>
      </c>
      <c r="C100" s="22">
        <v>7</v>
      </c>
      <c r="D100" s="2">
        <v>1</v>
      </c>
      <c r="E100" s="2">
        <v>0</v>
      </c>
      <c r="F100" s="2">
        <v>2</v>
      </c>
      <c r="G100" s="2">
        <v>1</v>
      </c>
      <c r="H100" s="2">
        <v>1</v>
      </c>
      <c r="I100" s="2">
        <v>5</v>
      </c>
      <c r="J100" s="2">
        <v>4</v>
      </c>
      <c r="K100" s="2">
        <v>5</v>
      </c>
      <c r="L100" s="2">
        <v>4</v>
      </c>
      <c r="M100" s="2">
        <v>2</v>
      </c>
      <c r="N100" s="2">
        <v>0</v>
      </c>
      <c r="O100" s="2">
        <v>0</v>
      </c>
      <c r="P100" s="2">
        <v>8</v>
      </c>
      <c r="Q100" s="2">
        <v>1</v>
      </c>
      <c r="R100" s="2">
        <v>0</v>
      </c>
      <c r="S100" s="2">
        <v>1</v>
      </c>
      <c r="T100" s="2">
        <v>7</v>
      </c>
      <c r="U100" s="22">
        <v>1</v>
      </c>
      <c r="V100" s="22">
        <v>2</v>
      </c>
      <c r="W100" s="22">
        <v>0</v>
      </c>
    </row>
    <row r="101" spans="1:23">
      <c r="A101" s="2">
        <v>451</v>
      </c>
      <c r="B101" s="2" t="s">
        <v>95</v>
      </c>
      <c r="C101" s="22">
        <v>4</v>
      </c>
      <c r="D101" s="2">
        <v>1</v>
      </c>
      <c r="E101" s="2">
        <v>0</v>
      </c>
      <c r="F101" s="2">
        <v>0</v>
      </c>
      <c r="G101" s="2">
        <v>1</v>
      </c>
      <c r="H101" s="2">
        <v>1</v>
      </c>
      <c r="I101" s="2">
        <v>2</v>
      </c>
      <c r="J101" s="2">
        <v>4</v>
      </c>
      <c r="K101" s="2">
        <v>1</v>
      </c>
      <c r="L101" s="2">
        <v>6</v>
      </c>
      <c r="M101" s="2">
        <v>6</v>
      </c>
      <c r="N101" s="2">
        <v>2</v>
      </c>
      <c r="O101" s="2">
        <v>1</v>
      </c>
      <c r="P101" s="2">
        <v>0</v>
      </c>
      <c r="Q101" s="2">
        <v>1</v>
      </c>
      <c r="R101" s="2">
        <v>3</v>
      </c>
      <c r="S101" s="2">
        <v>2</v>
      </c>
      <c r="T101" s="2">
        <v>6</v>
      </c>
      <c r="U101" s="22">
        <v>0</v>
      </c>
      <c r="V101" s="22">
        <v>0</v>
      </c>
      <c r="W101" s="22">
        <v>0</v>
      </c>
    </row>
    <row r="102" spans="1:23">
      <c r="A102" s="2">
        <v>452</v>
      </c>
      <c r="B102" s="2" t="s">
        <v>96</v>
      </c>
      <c r="C102" s="22">
        <v>0</v>
      </c>
      <c r="D102" s="2">
        <v>2</v>
      </c>
      <c r="E102" s="2">
        <v>1</v>
      </c>
      <c r="F102" s="2">
        <v>3</v>
      </c>
      <c r="G102" s="2">
        <v>8</v>
      </c>
      <c r="H102" s="2">
        <v>8</v>
      </c>
      <c r="I102" s="2">
        <v>6</v>
      </c>
      <c r="J102" s="2">
        <v>3</v>
      </c>
      <c r="K102" s="2">
        <v>11</v>
      </c>
      <c r="L102" s="2">
        <v>7</v>
      </c>
      <c r="M102" s="2">
        <v>3</v>
      </c>
      <c r="N102" s="2">
        <v>0</v>
      </c>
      <c r="O102" s="2">
        <v>3</v>
      </c>
      <c r="P102" s="2">
        <v>2</v>
      </c>
      <c r="Q102" s="2">
        <v>1</v>
      </c>
      <c r="R102" s="2">
        <v>5</v>
      </c>
      <c r="S102" s="2">
        <v>9</v>
      </c>
      <c r="T102" s="2">
        <v>3</v>
      </c>
      <c r="U102" s="22">
        <v>2</v>
      </c>
      <c r="V102" s="22">
        <v>6</v>
      </c>
      <c r="W102" s="22">
        <v>0</v>
      </c>
    </row>
    <row r="103" spans="1:23">
      <c r="A103" s="2">
        <v>461</v>
      </c>
      <c r="B103" s="2" t="s">
        <v>97</v>
      </c>
      <c r="C103" s="22">
        <v>0</v>
      </c>
      <c r="D103" s="2">
        <v>1</v>
      </c>
      <c r="E103" s="2">
        <v>1</v>
      </c>
      <c r="F103" s="2">
        <v>3</v>
      </c>
      <c r="G103" s="2">
        <v>1</v>
      </c>
      <c r="H103" s="2">
        <v>2</v>
      </c>
      <c r="I103" s="2">
        <v>2</v>
      </c>
      <c r="J103" s="2">
        <v>2</v>
      </c>
      <c r="K103" s="2">
        <v>3</v>
      </c>
      <c r="L103" s="2">
        <v>8</v>
      </c>
      <c r="M103" s="2">
        <v>3</v>
      </c>
      <c r="N103" s="2">
        <v>1</v>
      </c>
      <c r="O103" s="2">
        <v>5</v>
      </c>
      <c r="P103" s="2">
        <v>0</v>
      </c>
      <c r="Q103" s="2">
        <v>0</v>
      </c>
      <c r="R103" s="2">
        <v>1</v>
      </c>
      <c r="S103" s="2">
        <v>0</v>
      </c>
      <c r="T103" s="2">
        <v>0</v>
      </c>
      <c r="U103" s="22">
        <v>0</v>
      </c>
      <c r="V103" s="22">
        <v>0</v>
      </c>
      <c r="W103" s="22">
        <v>0</v>
      </c>
    </row>
    <row r="104" spans="1:23">
      <c r="A104" s="2">
        <v>471</v>
      </c>
      <c r="B104" s="2" t="s">
        <v>98</v>
      </c>
      <c r="C104" s="22">
        <v>2</v>
      </c>
      <c r="D104" s="2">
        <v>3</v>
      </c>
      <c r="E104" s="2">
        <v>0</v>
      </c>
      <c r="F104" s="2">
        <v>2</v>
      </c>
      <c r="G104" s="2">
        <v>5</v>
      </c>
      <c r="H104" s="2">
        <v>1</v>
      </c>
      <c r="I104" s="2">
        <v>4</v>
      </c>
      <c r="J104" s="2">
        <v>1</v>
      </c>
      <c r="K104" s="2">
        <v>3</v>
      </c>
      <c r="L104" s="2">
        <v>5</v>
      </c>
      <c r="M104" s="2">
        <v>0</v>
      </c>
      <c r="N104" s="2">
        <v>0</v>
      </c>
      <c r="O104" s="2">
        <v>1</v>
      </c>
      <c r="P104" s="2">
        <v>2</v>
      </c>
      <c r="Q104" s="2">
        <v>0</v>
      </c>
      <c r="R104" s="2">
        <v>0</v>
      </c>
      <c r="S104" s="2">
        <v>0</v>
      </c>
      <c r="T104" s="2">
        <v>6</v>
      </c>
      <c r="U104" s="22">
        <v>0</v>
      </c>
      <c r="V104" s="22">
        <v>0</v>
      </c>
      <c r="W104" s="22">
        <v>0</v>
      </c>
    </row>
    <row r="105" spans="1:23">
      <c r="A105" s="2">
        <v>475</v>
      </c>
      <c r="B105" s="2" t="s">
        <v>99</v>
      </c>
      <c r="C105" s="22">
        <v>7</v>
      </c>
      <c r="D105" s="2">
        <v>15</v>
      </c>
      <c r="E105" s="2">
        <v>16</v>
      </c>
      <c r="F105" s="2">
        <v>9</v>
      </c>
      <c r="G105" s="2">
        <v>12</v>
      </c>
      <c r="H105" s="2">
        <v>17</v>
      </c>
      <c r="I105" s="2">
        <v>10</v>
      </c>
      <c r="J105" s="2">
        <v>3</v>
      </c>
      <c r="K105" s="2">
        <v>25</v>
      </c>
      <c r="L105" s="2">
        <v>27</v>
      </c>
      <c r="M105" s="2">
        <v>21</v>
      </c>
      <c r="N105" s="2">
        <v>13</v>
      </c>
      <c r="O105" s="2">
        <v>5</v>
      </c>
      <c r="P105" s="2">
        <v>10</v>
      </c>
      <c r="Q105" s="2">
        <v>6</v>
      </c>
      <c r="R105" s="2">
        <v>40</v>
      </c>
      <c r="S105" s="2">
        <v>21</v>
      </c>
      <c r="T105" s="2">
        <v>3</v>
      </c>
      <c r="U105" s="22">
        <v>2</v>
      </c>
      <c r="V105" s="22">
        <v>0</v>
      </c>
      <c r="W105" s="22">
        <v>0</v>
      </c>
    </row>
    <row r="106" spans="1:23">
      <c r="A106" s="2">
        <v>481</v>
      </c>
      <c r="B106" s="2" t="s">
        <v>100</v>
      </c>
      <c r="C106" s="22">
        <v>3</v>
      </c>
      <c r="D106" s="2">
        <v>3</v>
      </c>
      <c r="E106" s="2">
        <v>0</v>
      </c>
      <c r="F106" s="2">
        <v>0</v>
      </c>
      <c r="G106" s="2">
        <v>1</v>
      </c>
      <c r="H106" s="2">
        <v>3</v>
      </c>
      <c r="I106" s="2">
        <v>2</v>
      </c>
      <c r="J106" s="2">
        <v>8</v>
      </c>
      <c r="K106" s="2">
        <v>3</v>
      </c>
      <c r="L106" s="2">
        <v>2</v>
      </c>
      <c r="M106" s="2">
        <v>2</v>
      </c>
      <c r="N106" s="2">
        <v>1</v>
      </c>
      <c r="O106" s="2">
        <v>0</v>
      </c>
      <c r="P106" s="2">
        <v>0</v>
      </c>
      <c r="Q106" s="2">
        <v>2</v>
      </c>
      <c r="R106" s="2">
        <v>3</v>
      </c>
      <c r="S106" s="2">
        <v>2</v>
      </c>
      <c r="T106" s="2">
        <v>2</v>
      </c>
      <c r="U106" s="22">
        <v>0</v>
      </c>
      <c r="V106" s="22">
        <v>0</v>
      </c>
      <c r="W106" s="22">
        <v>0</v>
      </c>
    </row>
    <row r="107" spans="1:23">
      <c r="A107" s="2">
        <v>482</v>
      </c>
      <c r="B107" s="2" t="s">
        <v>101</v>
      </c>
      <c r="C107" s="2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1</v>
      </c>
      <c r="J107" s="2">
        <v>4</v>
      </c>
      <c r="K107" s="2">
        <v>1</v>
      </c>
      <c r="L107" s="2">
        <v>1</v>
      </c>
      <c r="M107" s="2">
        <v>3</v>
      </c>
      <c r="N107" s="2">
        <v>1</v>
      </c>
      <c r="O107" s="2">
        <v>0</v>
      </c>
      <c r="P107" s="2">
        <v>0</v>
      </c>
      <c r="Q107" s="2">
        <v>4</v>
      </c>
      <c r="R107" s="2">
        <v>0</v>
      </c>
      <c r="S107" s="2">
        <v>1</v>
      </c>
      <c r="T107" s="2">
        <v>0</v>
      </c>
      <c r="U107" s="22">
        <v>0</v>
      </c>
      <c r="V107" s="22">
        <v>0</v>
      </c>
      <c r="W107" s="22">
        <v>0</v>
      </c>
    </row>
    <row r="108" spans="1:23">
      <c r="A108" s="2">
        <v>483</v>
      </c>
      <c r="B108" s="2" t="s">
        <v>102</v>
      </c>
      <c r="C108" s="22">
        <v>0</v>
      </c>
      <c r="D108" s="2">
        <v>0</v>
      </c>
      <c r="E108" s="2">
        <v>1</v>
      </c>
      <c r="F108" s="2">
        <v>0</v>
      </c>
      <c r="G108" s="2">
        <v>1</v>
      </c>
      <c r="H108" s="2">
        <v>1</v>
      </c>
      <c r="I108" s="2">
        <v>1</v>
      </c>
      <c r="J108" s="2">
        <v>0</v>
      </c>
      <c r="K108" s="2">
        <v>0</v>
      </c>
      <c r="L108" s="2">
        <v>1</v>
      </c>
      <c r="M108" s="2">
        <v>0</v>
      </c>
      <c r="N108" s="2">
        <v>0</v>
      </c>
      <c r="O108" s="2">
        <v>2</v>
      </c>
      <c r="P108" s="2">
        <v>0</v>
      </c>
      <c r="Q108" s="2">
        <v>1</v>
      </c>
      <c r="R108" s="2">
        <v>2</v>
      </c>
      <c r="S108" s="2">
        <v>10</v>
      </c>
      <c r="T108" s="2">
        <v>8</v>
      </c>
      <c r="U108" s="22">
        <v>1</v>
      </c>
      <c r="V108" s="22">
        <v>0</v>
      </c>
      <c r="W108" s="22">
        <v>0</v>
      </c>
    </row>
    <row r="109" spans="1:23">
      <c r="A109" s="2">
        <v>484</v>
      </c>
      <c r="B109" s="2" t="s">
        <v>103</v>
      </c>
      <c r="C109" s="22">
        <v>2</v>
      </c>
      <c r="D109" s="2">
        <v>4</v>
      </c>
      <c r="E109" s="2">
        <v>2</v>
      </c>
      <c r="F109" s="2">
        <v>1</v>
      </c>
      <c r="G109" s="2">
        <v>1</v>
      </c>
      <c r="H109" s="2">
        <v>1</v>
      </c>
      <c r="I109" s="2">
        <v>0</v>
      </c>
      <c r="J109" s="2">
        <v>14</v>
      </c>
      <c r="K109" s="2">
        <v>2</v>
      </c>
      <c r="L109" s="2">
        <v>2</v>
      </c>
      <c r="M109" s="2">
        <v>1</v>
      </c>
      <c r="N109" s="2">
        <v>3</v>
      </c>
      <c r="O109" s="2">
        <v>2</v>
      </c>
      <c r="P109" s="2">
        <v>0</v>
      </c>
      <c r="Q109" s="2">
        <v>1</v>
      </c>
      <c r="R109" s="2">
        <v>0</v>
      </c>
      <c r="S109" s="2">
        <v>1</v>
      </c>
      <c r="T109" s="2">
        <v>2</v>
      </c>
      <c r="U109" s="22">
        <v>0</v>
      </c>
      <c r="V109" s="22">
        <v>0</v>
      </c>
      <c r="W109" s="22">
        <v>0</v>
      </c>
    </row>
    <row r="110" spans="1:23">
      <c r="A110" s="2">
        <v>490</v>
      </c>
      <c r="B110" s="2" t="s">
        <v>104</v>
      </c>
      <c r="C110" s="22">
        <v>4</v>
      </c>
      <c r="D110" s="2">
        <v>8</v>
      </c>
      <c r="E110" s="2">
        <v>1</v>
      </c>
      <c r="F110" s="2">
        <v>3</v>
      </c>
      <c r="G110" s="2">
        <v>8</v>
      </c>
      <c r="H110" s="2">
        <v>8</v>
      </c>
      <c r="I110" s="2">
        <v>1</v>
      </c>
      <c r="J110" s="2">
        <v>48</v>
      </c>
      <c r="K110" s="2">
        <v>14</v>
      </c>
      <c r="L110" s="2">
        <v>7</v>
      </c>
      <c r="M110" s="2">
        <v>13</v>
      </c>
      <c r="N110" s="2">
        <v>6</v>
      </c>
      <c r="O110" s="2">
        <v>4</v>
      </c>
      <c r="P110" s="2">
        <v>2</v>
      </c>
      <c r="Q110" s="2">
        <v>2</v>
      </c>
      <c r="R110" s="2">
        <v>17</v>
      </c>
      <c r="S110" s="2">
        <v>6</v>
      </c>
      <c r="T110" s="2">
        <v>13</v>
      </c>
      <c r="U110" s="22">
        <v>5</v>
      </c>
      <c r="V110" s="22">
        <v>0</v>
      </c>
      <c r="W110" s="22">
        <v>0</v>
      </c>
    </row>
    <row r="111" spans="1:23">
      <c r="A111" s="2">
        <v>500</v>
      </c>
      <c r="B111" s="2" t="s">
        <v>105</v>
      </c>
      <c r="C111" s="22">
        <v>6</v>
      </c>
      <c r="D111" s="2">
        <v>2</v>
      </c>
      <c r="E111" s="2">
        <v>3</v>
      </c>
      <c r="F111" s="2">
        <v>3</v>
      </c>
      <c r="G111" s="2">
        <v>6</v>
      </c>
      <c r="H111" s="2">
        <v>9</v>
      </c>
      <c r="I111" s="2">
        <v>12</v>
      </c>
      <c r="J111" s="2">
        <v>6</v>
      </c>
      <c r="K111" s="2">
        <v>10</v>
      </c>
      <c r="L111" s="2">
        <v>4</v>
      </c>
      <c r="M111" s="2">
        <v>4</v>
      </c>
      <c r="N111" s="2">
        <v>2</v>
      </c>
      <c r="O111" s="2">
        <v>1</v>
      </c>
      <c r="P111" s="2">
        <v>2</v>
      </c>
      <c r="Q111" s="2">
        <v>0</v>
      </c>
      <c r="R111" s="2">
        <v>7</v>
      </c>
      <c r="S111" s="2">
        <v>3</v>
      </c>
      <c r="T111" s="2">
        <v>2</v>
      </c>
      <c r="U111" s="22">
        <v>1</v>
      </c>
      <c r="V111" s="22">
        <v>0</v>
      </c>
      <c r="W111" s="22">
        <v>0</v>
      </c>
    </row>
    <row r="112" spans="1:23">
      <c r="A112" s="2">
        <v>501</v>
      </c>
      <c r="B112" s="2" t="s">
        <v>106</v>
      </c>
      <c r="C112" s="22">
        <v>10</v>
      </c>
      <c r="D112" s="2">
        <v>12</v>
      </c>
      <c r="E112" s="2">
        <v>4</v>
      </c>
      <c r="F112" s="2">
        <v>12</v>
      </c>
      <c r="G112" s="2">
        <v>16</v>
      </c>
      <c r="H112" s="2">
        <v>8</v>
      </c>
      <c r="I112" s="2">
        <v>17</v>
      </c>
      <c r="J112" s="2">
        <v>9</v>
      </c>
      <c r="K112" s="2">
        <v>24</v>
      </c>
      <c r="L112" s="2">
        <v>5</v>
      </c>
      <c r="M112" s="2">
        <v>7</v>
      </c>
      <c r="N112" s="2">
        <v>6</v>
      </c>
      <c r="O112" s="2">
        <v>4</v>
      </c>
      <c r="P112" s="2">
        <v>4</v>
      </c>
      <c r="Q112" s="2">
        <v>0</v>
      </c>
      <c r="R112" s="2">
        <v>22</v>
      </c>
      <c r="S112" s="2">
        <v>7</v>
      </c>
      <c r="T112" s="2">
        <v>3</v>
      </c>
      <c r="U112" s="22">
        <v>3</v>
      </c>
      <c r="V112" s="22">
        <v>0</v>
      </c>
      <c r="W112">
        <v>2</v>
      </c>
    </row>
    <row r="113" spans="1:23">
      <c r="A113" s="2">
        <v>510</v>
      </c>
      <c r="B113" s="2" t="s">
        <v>107</v>
      </c>
      <c r="C113" s="22">
        <v>5</v>
      </c>
      <c r="D113" s="2">
        <v>5</v>
      </c>
      <c r="E113" s="2">
        <v>4</v>
      </c>
      <c r="F113" s="2">
        <v>3</v>
      </c>
      <c r="G113" s="2">
        <v>3</v>
      </c>
      <c r="H113" s="2">
        <v>6</v>
      </c>
      <c r="I113" s="2">
        <v>1</v>
      </c>
      <c r="J113" s="2">
        <v>8</v>
      </c>
      <c r="K113" s="2">
        <v>6</v>
      </c>
      <c r="L113" s="2">
        <v>4</v>
      </c>
      <c r="M113" s="2">
        <v>7</v>
      </c>
      <c r="N113" s="2">
        <v>1</v>
      </c>
      <c r="O113" s="2">
        <v>1</v>
      </c>
      <c r="P113" s="2">
        <v>0</v>
      </c>
      <c r="Q113" s="2">
        <v>0</v>
      </c>
      <c r="R113" s="2">
        <v>2</v>
      </c>
      <c r="S113" s="2">
        <v>1</v>
      </c>
      <c r="T113" s="2">
        <v>1</v>
      </c>
      <c r="U113" s="22">
        <v>1</v>
      </c>
      <c r="V113" s="22">
        <v>0</v>
      </c>
      <c r="W113" s="22">
        <v>0</v>
      </c>
    </row>
    <row r="114" spans="1:23">
      <c r="A114" s="2">
        <v>516</v>
      </c>
      <c r="B114" s="2" t="s">
        <v>108</v>
      </c>
      <c r="C114" s="22">
        <v>0</v>
      </c>
      <c r="D114" s="2">
        <v>1</v>
      </c>
      <c r="E114" s="2">
        <v>0</v>
      </c>
      <c r="F114" s="2">
        <v>0</v>
      </c>
      <c r="G114" s="2">
        <v>9</v>
      </c>
      <c r="H114" s="2">
        <v>2</v>
      </c>
      <c r="I114" s="2">
        <v>6</v>
      </c>
      <c r="J114" s="2">
        <v>1</v>
      </c>
      <c r="K114" s="2">
        <v>1</v>
      </c>
      <c r="L114" s="2">
        <v>1</v>
      </c>
      <c r="M114" s="2">
        <v>4</v>
      </c>
      <c r="N114" s="2">
        <v>1</v>
      </c>
      <c r="O114" s="2">
        <v>0</v>
      </c>
      <c r="P114" s="2">
        <v>0</v>
      </c>
      <c r="Q114" s="2">
        <v>0</v>
      </c>
      <c r="R114" s="2">
        <v>11</v>
      </c>
      <c r="S114" s="2">
        <v>1</v>
      </c>
      <c r="T114" s="2">
        <v>1</v>
      </c>
      <c r="U114" s="22">
        <v>0</v>
      </c>
      <c r="V114" s="22">
        <v>0</v>
      </c>
      <c r="W114" s="22">
        <v>0</v>
      </c>
    </row>
    <row r="115" spans="1:23">
      <c r="A115" s="2">
        <v>517</v>
      </c>
      <c r="B115" s="2" t="s">
        <v>109</v>
      </c>
      <c r="C115" s="22">
        <v>1</v>
      </c>
      <c r="D115" s="2">
        <v>0</v>
      </c>
      <c r="E115" s="2">
        <v>0</v>
      </c>
      <c r="F115" s="2">
        <v>3</v>
      </c>
      <c r="G115" s="2">
        <v>23</v>
      </c>
      <c r="H115" s="2">
        <v>13</v>
      </c>
      <c r="I115" s="2">
        <v>10</v>
      </c>
      <c r="J115" s="2">
        <v>5</v>
      </c>
      <c r="K115" s="2">
        <v>9</v>
      </c>
      <c r="L115" s="2">
        <v>8</v>
      </c>
      <c r="M115" s="2">
        <v>5</v>
      </c>
      <c r="N115" s="2">
        <v>3</v>
      </c>
      <c r="O115" s="2">
        <v>4</v>
      </c>
      <c r="P115" s="2">
        <v>0</v>
      </c>
      <c r="Q115" s="2">
        <v>0</v>
      </c>
      <c r="R115" s="2">
        <v>3</v>
      </c>
      <c r="S115" s="2">
        <v>0</v>
      </c>
      <c r="T115" s="2">
        <v>4</v>
      </c>
      <c r="U115" s="22">
        <v>2</v>
      </c>
      <c r="V115" s="22">
        <v>1</v>
      </c>
      <c r="W115" s="22">
        <v>0</v>
      </c>
    </row>
    <row r="116" spans="1:23">
      <c r="A116" s="2">
        <v>520</v>
      </c>
      <c r="B116" s="2" t="s">
        <v>110</v>
      </c>
      <c r="C116" s="22">
        <v>1</v>
      </c>
      <c r="D116" s="2">
        <v>1</v>
      </c>
      <c r="E116" s="2">
        <v>17</v>
      </c>
      <c r="F116" s="2">
        <v>30</v>
      </c>
      <c r="G116" s="2">
        <v>10</v>
      </c>
      <c r="H116" s="2">
        <v>6</v>
      </c>
      <c r="I116" s="2">
        <v>5</v>
      </c>
      <c r="J116" s="2">
        <v>2</v>
      </c>
      <c r="K116" s="2">
        <v>0</v>
      </c>
      <c r="L116" s="2">
        <v>0</v>
      </c>
      <c r="M116" s="2">
        <v>0</v>
      </c>
      <c r="N116" s="2">
        <v>3</v>
      </c>
      <c r="O116" s="2">
        <v>1</v>
      </c>
      <c r="P116" s="2">
        <v>1</v>
      </c>
      <c r="Q116" s="2">
        <v>0</v>
      </c>
      <c r="R116" s="2">
        <v>2</v>
      </c>
      <c r="S116" s="2">
        <v>1</v>
      </c>
      <c r="T116" s="2">
        <v>8</v>
      </c>
      <c r="U116" s="22">
        <v>1</v>
      </c>
      <c r="V116" s="22">
        <v>1</v>
      </c>
      <c r="W116" s="22">
        <v>0</v>
      </c>
    </row>
    <row r="117" spans="1:23">
      <c r="A117" s="2">
        <v>522</v>
      </c>
      <c r="B117" s="2" t="s">
        <v>111</v>
      </c>
      <c r="C117" s="2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2">
        <v>0</v>
      </c>
      <c r="V117" s="22">
        <v>0</v>
      </c>
      <c r="W117" s="22">
        <v>0</v>
      </c>
    </row>
    <row r="118" spans="1:23">
      <c r="A118" s="2">
        <v>530</v>
      </c>
      <c r="B118" s="2" t="s">
        <v>112</v>
      </c>
      <c r="C118" s="22">
        <v>7</v>
      </c>
      <c r="D118" s="2">
        <v>7</v>
      </c>
      <c r="E118" s="2">
        <v>6</v>
      </c>
      <c r="F118" s="2">
        <v>12</v>
      </c>
      <c r="G118" s="2">
        <v>7</v>
      </c>
      <c r="H118" s="2">
        <v>7</v>
      </c>
      <c r="I118" s="2">
        <v>7</v>
      </c>
      <c r="J118" s="2">
        <v>6</v>
      </c>
      <c r="K118" s="2">
        <v>13</v>
      </c>
      <c r="L118" s="2">
        <v>2</v>
      </c>
      <c r="M118" s="2">
        <v>3</v>
      </c>
      <c r="N118" s="2">
        <v>3</v>
      </c>
      <c r="O118" s="2">
        <v>2</v>
      </c>
      <c r="P118" s="2">
        <v>5</v>
      </c>
      <c r="Q118" s="2">
        <v>3</v>
      </c>
      <c r="R118" s="2">
        <v>7</v>
      </c>
      <c r="S118" s="2">
        <v>8</v>
      </c>
      <c r="T118" s="2">
        <v>15</v>
      </c>
      <c r="U118" s="22">
        <v>1</v>
      </c>
      <c r="V118" s="22">
        <v>0</v>
      </c>
      <c r="W118" s="22">
        <v>0</v>
      </c>
    </row>
    <row r="119" spans="1:23">
      <c r="A119" s="2">
        <v>531</v>
      </c>
      <c r="B119" s="2" t="s">
        <v>113</v>
      </c>
      <c r="C119" s="22">
        <v>0</v>
      </c>
      <c r="D119" s="2">
        <v>0</v>
      </c>
      <c r="E119" s="2">
        <v>0</v>
      </c>
      <c r="F119" s="2">
        <v>0</v>
      </c>
      <c r="G119" s="2">
        <v>1</v>
      </c>
      <c r="H119" s="2">
        <v>1</v>
      </c>
      <c r="I119" s="2">
        <v>2</v>
      </c>
      <c r="J119" s="2">
        <v>5</v>
      </c>
      <c r="K119" s="2">
        <v>7</v>
      </c>
      <c r="L119" s="2">
        <v>0</v>
      </c>
      <c r="M119" s="2">
        <v>5</v>
      </c>
      <c r="N119" s="2">
        <v>0</v>
      </c>
      <c r="O119" s="2">
        <v>0</v>
      </c>
      <c r="P119" s="2">
        <v>0</v>
      </c>
      <c r="Q119" s="2">
        <v>0</v>
      </c>
      <c r="R119" s="2">
        <v>4</v>
      </c>
      <c r="S119" s="2">
        <v>5</v>
      </c>
      <c r="T119" s="2">
        <v>1</v>
      </c>
      <c r="U119" s="22">
        <v>1</v>
      </c>
      <c r="V119" s="22">
        <v>0</v>
      </c>
      <c r="W119" s="22">
        <v>0</v>
      </c>
    </row>
    <row r="120" spans="1:23">
      <c r="A120" s="2">
        <v>540</v>
      </c>
      <c r="B120" s="2" t="s">
        <v>114</v>
      </c>
      <c r="C120" s="22">
        <v>8</v>
      </c>
      <c r="D120" s="2">
        <v>7</v>
      </c>
      <c r="E120" s="2">
        <v>12</v>
      </c>
      <c r="F120" s="2">
        <v>7</v>
      </c>
      <c r="G120" s="2">
        <v>12</v>
      </c>
      <c r="H120" s="2">
        <v>7</v>
      </c>
      <c r="I120" s="2">
        <v>15</v>
      </c>
      <c r="J120" s="2">
        <v>14</v>
      </c>
      <c r="K120" s="2">
        <v>6</v>
      </c>
      <c r="L120" s="2">
        <v>3</v>
      </c>
      <c r="M120" s="2">
        <v>0</v>
      </c>
      <c r="N120" s="2">
        <v>5</v>
      </c>
      <c r="O120" s="2">
        <v>4</v>
      </c>
      <c r="P120" s="2">
        <v>2</v>
      </c>
      <c r="Q120" s="2">
        <v>0</v>
      </c>
      <c r="R120" s="2">
        <v>3</v>
      </c>
      <c r="S120" s="2">
        <v>12</v>
      </c>
      <c r="T120" s="2">
        <v>2</v>
      </c>
      <c r="U120" s="22">
        <v>0</v>
      </c>
      <c r="V120" s="22">
        <v>0</v>
      </c>
      <c r="W120" s="22">
        <v>0</v>
      </c>
    </row>
    <row r="121" spans="1:23">
      <c r="A121" s="2">
        <v>541</v>
      </c>
      <c r="B121" s="2" t="s">
        <v>115</v>
      </c>
      <c r="C121" s="22">
        <v>6</v>
      </c>
      <c r="D121" s="2">
        <v>6</v>
      </c>
      <c r="E121" s="2">
        <v>6</v>
      </c>
      <c r="F121" s="2">
        <v>6</v>
      </c>
      <c r="G121" s="2">
        <v>10</v>
      </c>
      <c r="H121" s="2">
        <v>2</v>
      </c>
      <c r="I121" s="2">
        <v>11</v>
      </c>
      <c r="J121" s="2">
        <v>3</v>
      </c>
      <c r="K121" s="2">
        <v>4</v>
      </c>
      <c r="L121" s="2">
        <v>4</v>
      </c>
      <c r="M121" s="2">
        <v>11</v>
      </c>
      <c r="N121" s="2">
        <v>3</v>
      </c>
      <c r="O121" s="2">
        <v>7</v>
      </c>
      <c r="P121" s="2">
        <v>1</v>
      </c>
      <c r="Q121" s="2">
        <v>0</v>
      </c>
      <c r="R121" s="2">
        <v>3</v>
      </c>
      <c r="S121" s="2">
        <v>0</v>
      </c>
      <c r="T121" s="2">
        <v>5</v>
      </c>
      <c r="U121" s="22">
        <v>0</v>
      </c>
      <c r="V121" s="22">
        <v>0</v>
      </c>
      <c r="W121" s="22">
        <v>0</v>
      </c>
    </row>
    <row r="122" spans="1:23">
      <c r="A122" s="2">
        <v>551</v>
      </c>
      <c r="B122" s="2" t="s">
        <v>116</v>
      </c>
      <c r="C122" s="22">
        <v>12</v>
      </c>
      <c r="D122" s="2">
        <v>6</v>
      </c>
      <c r="E122" s="2">
        <v>3</v>
      </c>
      <c r="F122" s="2">
        <v>5</v>
      </c>
      <c r="G122" s="2">
        <v>10</v>
      </c>
      <c r="H122" s="2">
        <v>4</v>
      </c>
      <c r="I122" s="2">
        <v>1</v>
      </c>
      <c r="J122" s="2">
        <v>3</v>
      </c>
      <c r="K122" s="2">
        <v>1</v>
      </c>
      <c r="L122" s="2">
        <v>6</v>
      </c>
      <c r="M122" s="2">
        <v>5</v>
      </c>
      <c r="N122" s="2">
        <v>6</v>
      </c>
      <c r="O122" s="2">
        <v>0</v>
      </c>
      <c r="P122" s="2">
        <v>0</v>
      </c>
      <c r="Q122" s="2">
        <v>1</v>
      </c>
      <c r="R122" s="2">
        <v>2</v>
      </c>
      <c r="S122" s="2">
        <v>1</v>
      </c>
      <c r="T122" s="2">
        <v>7</v>
      </c>
      <c r="U122" s="22">
        <v>0</v>
      </c>
      <c r="V122" s="22">
        <v>0</v>
      </c>
      <c r="W122" s="22">
        <v>0</v>
      </c>
    </row>
    <row r="123" spans="1:23">
      <c r="A123" s="2">
        <v>552</v>
      </c>
      <c r="B123" s="2" t="s">
        <v>117</v>
      </c>
      <c r="C123" s="22">
        <v>7</v>
      </c>
      <c r="D123" s="2">
        <v>15</v>
      </c>
      <c r="E123" s="2">
        <v>3</v>
      </c>
      <c r="F123" s="2">
        <v>7</v>
      </c>
      <c r="G123" s="2">
        <v>18</v>
      </c>
      <c r="H123" s="2">
        <v>8</v>
      </c>
      <c r="I123" s="2">
        <v>16</v>
      </c>
      <c r="J123" s="2">
        <v>12</v>
      </c>
      <c r="K123" s="2">
        <v>10</v>
      </c>
      <c r="L123" s="2">
        <v>3</v>
      </c>
      <c r="M123" s="2">
        <v>6</v>
      </c>
      <c r="N123" s="2">
        <v>10</v>
      </c>
      <c r="O123" s="2">
        <v>4</v>
      </c>
      <c r="P123" s="2">
        <v>13</v>
      </c>
      <c r="Q123" s="2">
        <v>10</v>
      </c>
      <c r="R123" s="2">
        <v>17</v>
      </c>
      <c r="S123" s="2">
        <v>3</v>
      </c>
      <c r="T123" s="2">
        <v>9</v>
      </c>
      <c r="U123" s="22">
        <v>9</v>
      </c>
      <c r="V123" s="22">
        <v>0</v>
      </c>
      <c r="W123" s="22">
        <v>0</v>
      </c>
    </row>
    <row r="124" spans="1:23">
      <c r="A124" s="2">
        <v>553</v>
      </c>
      <c r="B124" s="2" t="s">
        <v>118</v>
      </c>
      <c r="C124" s="22">
        <v>1</v>
      </c>
      <c r="D124" s="2">
        <v>1</v>
      </c>
      <c r="E124" s="2">
        <v>0</v>
      </c>
      <c r="F124" s="2">
        <v>0</v>
      </c>
      <c r="G124" s="2">
        <v>1</v>
      </c>
      <c r="H124" s="2">
        <v>5</v>
      </c>
      <c r="I124" s="2">
        <v>0</v>
      </c>
      <c r="J124" s="2">
        <v>2</v>
      </c>
      <c r="K124" s="2">
        <v>1</v>
      </c>
      <c r="L124" s="2">
        <v>1</v>
      </c>
      <c r="M124" s="2">
        <v>0</v>
      </c>
      <c r="N124" s="2">
        <v>1</v>
      </c>
      <c r="O124" s="2">
        <v>2</v>
      </c>
      <c r="P124" s="2">
        <v>0</v>
      </c>
      <c r="Q124" s="2">
        <v>0</v>
      </c>
      <c r="R124" s="2">
        <v>6</v>
      </c>
      <c r="S124" s="2">
        <v>4</v>
      </c>
      <c r="T124" s="2">
        <v>3</v>
      </c>
      <c r="U124" s="22">
        <v>1</v>
      </c>
      <c r="V124" s="22">
        <v>1</v>
      </c>
      <c r="W124" s="22">
        <v>0</v>
      </c>
    </row>
    <row r="125" spans="1:23">
      <c r="A125" s="2">
        <v>560</v>
      </c>
      <c r="B125" s="2" t="s">
        <v>119</v>
      </c>
      <c r="C125" s="22">
        <v>22</v>
      </c>
      <c r="D125" s="2">
        <v>36</v>
      </c>
      <c r="E125" s="2">
        <v>34</v>
      </c>
      <c r="F125" s="2">
        <v>22</v>
      </c>
      <c r="G125" s="2">
        <v>72</v>
      </c>
      <c r="H125" s="2">
        <v>68</v>
      </c>
      <c r="I125" s="2">
        <v>52</v>
      </c>
      <c r="J125" s="2">
        <v>56</v>
      </c>
      <c r="K125" s="2">
        <v>36</v>
      </c>
      <c r="L125" s="2">
        <v>25</v>
      </c>
      <c r="M125" s="2">
        <v>25</v>
      </c>
      <c r="N125" s="2">
        <v>13</v>
      </c>
      <c r="O125" s="2">
        <v>14</v>
      </c>
      <c r="P125" s="2">
        <v>9</v>
      </c>
      <c r="Q125" s="2">
        <v>14</v>
      </c>
      <c r="R125" s="2">
        <v>15</v>
      </c>
      <c r="S125" s="2">
        <v>31</v>
      </c>
      <c r="T125" s="2">
        <v>25</v>
      </c>
      <c r="U125" s="22">
        <v>5</v>
      </c>
      <c r="V125" s="22">
        <v>1</v>
      </c>
      <c r="W125" s="22">
        <v>0</v>
      </c>
    </row>
    <row r="126" spans="1:23">
      <c r="A126" s="2">
        <v>565</v>
      </c>
      <c r="B126" s="2" t="s">
        <v>120</v>
      </c>
      <c r="C126" s="22">
        <v>1</v>
      </c>
      <c r="D126" s="2">
        <v>4</v>
      </c>
      <c r="E126" s="2">
        <v>4</v>
      </c>
      <c r="F126" s="2">
        <v>2</v>
      </c>
      <c r="G126" s="2">
        <v>5</v>
      </c>
      <c r="H126" s="2">
        <v>3</v>
      </c>
      <c r="I126" s="2">
        <v>0</v>
      </c>
      <c r="J126" s="2">
        <v>5</v>
      </c>
      <c r="K126" s="2">
        <v>2</v>
      </c>
      <c r="L126" s="2">
        <v>2</v>
      </c>
      <c r="M126" s="2">
        <v>1</v>
      </c>
      <c r="N126" s="2">
        <v>1</v>
      </c>
      <c r="O126" s="2">
        <v>0</v>
      </c>
      <c r="P126" s="2">
        <v>0</v>
      </c>
      <c r="Q126" s="2">
        <v>1</v>
      </c>
      <c r="R126" s="2">
        <v>0</v>
      </c>
      <c r="S126" s="2">
        <v>1</v>
      </c>
      <c r="T126" s="2">
        <v>13</v>
      </c>
      <c r="U126" s="22">
        <v>1</v>
      </c>
      <c r="V126" s="22">
        <v>0</v>
      </c>
      <c r="W126" s="22">
        <v>0</v>
      </c>
    </row>
    <row r="127" spans="1:23">
      <c r="A127" s="2">
        <v>570</v>
      </c>
      <c r="B127" s="2" t="s">
        <v>121</v>
      </c>
      <c r="C127" s="22">
        <v>0</v>
      </c>
      <c r="D127" s="2">
        <v>0</v>
      </c>
      <c r="E127" s="2">
        <v>0</v>
      </c>
      <c r="F127" s="2">
        <v>0</v>
      </c>
      <c r="G127" s="2">
        <v>7</v>
      </c>
      <c r="H127" s="2">
        <v>6</v>
      </c>
      <c r="I127" s="2">
        <v>0</v>
      </c>
      <c r="J127" s="2">
        <v>2</v>
      </c>
      <c r="K127" s="2">
        <v>1</v>
      </c>
      <c r="L127" s="2">
        <v>0</v>
      </c>
      <c r="M127" s="2">
        <v>1</v>
      </c>
      <c r="N127" s="2">
        <v>0</v>
      </c>
      <c r="O127" s="2">
        <v>0</v>
      </c>
      <c r="P127" s="2">
        <v>0</v>
      </c>
      <c r="Q127" s="2">
        <v>0</v>
      </c>
      <c r="R127" s="2">
        <v>1</v>
      </c>
      <c r="S127" s="2">
        <v>1</v>
      </c>
      <c r="T127" s="2">
        <v>1</v>
      </c>
      <c r="U127" s="22">
        <v>0</v>
      </c>
      <c r="V127" s="22">
        <v>0</v>
      </c>
      <c r="W127" s="22">
        <v>0</v>
      </c>
    </row>
    <row r="128" spans="1:23">
      <c r="A128" s="2">
        <v>571</v>
      </c>
      <c r="B128" s="2" t="s">
        <v>122</v>
      </c>
      <c r="C128" s="22">
        <v>1</v>
      </c>
      <c r="D128" s="2">
        <v>1</v>
      </c>
      <c r="E128" s="2">
        <v>3</v>
      </c>
      <c r="F128" s="2">
        <v>1</v>
      </c>
      <c r="G128" s="2">
        <v>2</v>
      </c>
      <c r="H128" s="2">
        <v>3</v>
      </c>
      <c r="I128" s="2">
        <v>3</v>
      </c>
      <c r="J128" s="2">
        <v>4</v>
      </c>
      <c r="K128" s="2">
        <v>3</v>
      </c>
      <c r="L128" s="2">
        <v>4</v>
      </c>
      <c r="M128" s="2">
        <v>0</v>
      </c>
      <c r="N128" s="2">
        <v>1</v>
      </c>
      <c r="O128" s="2">
        <v>0</v>
      </c>
      <c r="P128" s="2">
        <v>3</v>
      </c>
      <c r="Q128" s="2">
        <v>0</v>
      </c>
      <c r="R128" s="2">
        <v>3</v>
      </c>
      <c r="S128" s="2">
        <v>0</v>
      </c>
      <c r="T128" s="2">
        <v>1</v>
      </c>
      <c r="U128" s="22">
        <v>0</v>
      </c>
      <c r="V128" s="22">
        <v>0</v>
      </c>
      <c r="W128" s="22">
        <v>0</v>
      </c>
    </row>
    <row r="129" spans="1:23">
      <c r="A129" s="2">
        <v>572</v>
      </c>
      <c r="B129" s="2" t="s">
        <v>123</v>
      </c>
      <c r="C129" s="22">
        <v>1</v>
      </c>
      <c r="D129" s="2">
        <v>1</v>
      </c>
      <c r="E129" s="2">
        <v>0</v>
      </c>
      <c r="F129" s="2">
        <v>2</v>
      </c>
      <c r="G129" s="2">
        <v>1</v>
      </c>
      <c r="H129" s="2">
        <v>0</v>
      </c>
      <c r="I129" s="2">
        <v>2</v>
      </c>
      <c r="J129" s="2">
        <v>0</v>
      </c>
      <c r="K129" s="2">
        <v>2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1</v>
      </c>
      <c r="S129" s="2">
        <v>0</v>
      </c>
      <c r="T129" s="2">
        <v>0</v>
      </c>
      <c r="U129" s="22">
        <v>0</v>
      </c>
      <c r="V129" s="22">
        <v>0</v>
      </c>
      <c r="W129" s="22">
        <v>0</v>
      </c>
    </row>
    <row r="130" spans="1:23">
      <c r="A130" s="2">
        <v>580</v>
      </c>
      <c r="B130" s="2" t="s">
        <v>124</v>
      </c>
      <c r="C130" s="22">
        <v>3</v>
      </c>
      <c r="D130" s="2">
        <v>0</v>
      </c>
      <c r="E130" s="2">
        <v>0</v>
      </c>
      <c r="F130" s="2">
        <v>1</v>
      </c>
      <c r="G130" s="2">
        <v>1</v>
      </c>
      <c r="H130" s="2">
        <v>2</v>
      </c>
      <c r="I130" s="2">
        <v>1</v>
      </c>
      <c r="J130" s="2">
        <v>0</v>
      </c>
      <c r="K130" s="2">
        <v>0</v>
      </c>
      <c r="L130" s="2">
        <v>1</v>
      </c>
      <c r="M130" s="2">
        <v>1</v>
      </c>
      <c r="N130" s="2">
        <v>0</v>
      </c>
      <c r="O130" s="2">
        <v>0</v>
      </c>
      <c r="P130" s="2">
        <v>0</v>
      </c>
      <c r="Q130" s="2">
        <v>0</v>
      </c>
      <c r="R130" s="2">
        <v>2</v>
      </c>
      <c r="S130" s="2">
        <v>0</v>
      </c>
      <c r="T130" s="2">
        <v>0</v>
      </c>
      <c r="U130" s="22">
        <v>0</v>
      </c>
      <c r="V130" s="22">
        <v>0</v>
      </c>
      <c r="W130" s="22">
        <v>0</v>
      </c>
    </row>
    <row r="131" spans="1:23">
      <c r="A131" s="2">
        <v>581</v>
      </c>
      <c r="B131" s="2" t="s">
        <v>125</v>
      </c>
      <c r="C131" s="22">
        <v>1</v>
      </c>
      <c r="D131" s="2">
        <v>0</v>
      </c>
      <c r="E131" s="2">
        <v>0</v>
      </c>
      <c r="F131" s="2">
        <v>0</v>
      </c>
      <c r="G131" s="2">
        <v>0</v>
      </c>
      <c r="H131" s="2">
        <v>1</v>
      </c>
      <c r="I131" s="2">
        <v>2</v>
      </c>
      <c r="J131" s="2">
        <v>1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2">
        <v>0</v>
      </c>
      <c r="V131" s="22">
        <v>0</v>
      </c>
      <c r="W131" s="22">
        <v>0</v>
      </c>
    </row>
    <row r="132" spans="1:23">
      <c r="A132" s="2">
        <v>590</v>
      </c>
      <c r="B132" s="2" t="s">
        <v>126</v>
      </c>
      <c r="C132" s="22">
        <v>1</v>
      </c>
      <c r="D132" s="2">
        <v>0</v>
      </c>
      <c r="E132" s="2">
        <v>1</v>
      </c>
      <c r="F132" s="2">
        <v>1</v>
      </c>
      <c r="G132" s="2">
        <v>2</v>
      </c>
      <c r="H132" s="2">
        <v>0</v>
      </c>
      <c r="I132" s="2">
        <v>0</v>
      </c>
      <c r="J132" s="2">
        <v>2</v>
      </c>
      <c r="K132" s="2">
        <v>3</v>
      </c>
      <c r="L132" s="2">
        <v>0</v>
      </c>
      <c r="M132" s="2">
        <v>1</v>
      </c>
      <c r="N132" s="2">
        <v>0</v>
      </c>
      <c r="O132" s="2">
        <v>0</v>
      </c>
      <c r="P132" s="2">
        <v>0</v>
      </c>
      <c r="Q132" s="2">
        <v>0</v>
      </c>
      <c r="R132" s="2">
        <v>2</v>
      </c>
      <c r="S132" s="2">
        <v>0</v>
      </c>
      <c r="T132" s="2">
        <v>0</v>
      </c>
      <c r="U132" s="22">
        <v>0</v>
      </c>
      <c r="V132" s="22">
        <v>0</v>
      </c>
      <c r="W132" s="22">
        <v>0</v>
      </c>
    </row>
    <row r="133" spans="1:23">
      <c r="A133" s="2">
        <v>591</v>
      </c>
      <c r="B133" s="2" t="s">
        <v>127</v>
      </c>
      <c r="C133" s="22">
        <v>1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2</v>
      </c>
      <c r="K133" s="2">
        <v>1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1</v>
      </c>
      <c r="U133" s="22">
        <v>0</v>
      </c>
      <c r="V133" s="22">
        <v>0</v>
      </c>
      <c r="W133" s="22">
        <v>0</v>
      </c>
    </row>
    <row r="134" spans="1:23">
      <c r="A134" s="2">
        <v>600</v>
      </c>
      <c r="B134" s="2" t="s">
        <v>128</v>
      </c>
      <c r="C134" s="22">
        <v>27</v>
      </c>
      <c r="D134" s="2">
        <v>24</v>
      </c>
      <c r="E134" s="2">
        <v>17</v>
      </c>
      <c r="F134" s="2">
        <v>26</v>
      </c>
      <c r="G134" s="2">
        <v>23</v>
      </c>
      <c r="H134" s="2">
        <v>24</v>
      </c>
      <c r="I134" s="2">
        <v>39</v>
      </c>
      <c r="J134" s="2">
        <v>32</v>
      </c>
      <c r="K134" s="2">
        <v>15</v>
      </c>
      <c r="L134" s="2">
        <v>37</v>
      </c>
      <c r="M134" s="2">
        <v>29</v>
      </c>
      <c r="N134" s="2">
        <v>19</v>
      </c>
      <c r="O134" s="2">
        <v>18</v>
      </c>
      <c r="P134" s="2">
        <v>7</v>
      </c>
      <c r="Q134" s="2">
        <v>5</v>
      </c>
      <c r="R134" s="2">
        <v>9</v>
      </c>
      <c r="S134" s="2">
        <v>19</v>
      </c>
      <c r="T134" s="2">
        <v>10</v>
      </c>
      <c r="U134" s="22">
        <v>4</v>
      </c>
      <c r="V134" s="22">
        <v>5</v>
      </c>
      <c r="W134" s="22">
        <v>0</v>
      </c>
    </row>
    <row r="135" spans="1:23">
      <c r="A135" s="2">
        <v>615</v>
      </c>
      <c r="B135" s="2" t="s">
        <v>129</v>
      </c>
      <c r="C135" s="22">
        <v>12</v>
      </c>
      <c r="D135" s="2">
        <v>6</v>
      </c>
      <c r="E135" s="2">
        <v>13</v>
      </c>
      <c r="F135" s="2">
        <v>12</v>
      </c>
      <c r="G135" s="2">
        <v>11</v>
      </c>
      <c r="H135" s="2">
        <v>13</v>
      </c>
      <c r="I135" s="2">
        <v>23</v>
      </c>
      <c r="J135" s="2">
        <v>4</v>
      </c>
      <c r="K135" s="2">
        <v>19</v>
      </c>
      <c r="L135" s="2">
        <v>18</v>
      </c>
      <c r="M135" s="2">
        <v>16</v>
      </c>
      <c r="N135" s="2">
        <v>8</v>
      </c>
      <c r="O135" s="2">
        <v>10</v>
      </c>
      <c r="P135" s="2">
        <v>11</v>
      </c>
      <c r="Q135" s="2">
        <v>3</v>
      </c>
      <c r="R135" s="2">
        <v>6</v>
      </c>
      <c r="S135" s="2">
        <v>28</v>
      </c>
      <c r="T135" s="2">
        <v>10</v>
      </c>
      <c r="U135" s="22">
        <v>0</v>
      </c>
      <c r="V135">
        <v>1</v>
      </c>
      <c r="W135" s="22">
        <v>0</v>
      </c>
    </row>
    <row r="136" spans="1:23">
      <c r="A136" s="2">
        <v>616</v>
      </c>
      <c r="B136" s="2" t="s">
        <v>130</v>
      </c>
      <c r="C136" s="22">
        <v>16</v>
      </c>
      <c r="D136" s="2">
        <v>21</v>
      </c>
      <c r="E136" s="2">
        <v>9</v>
      </c>
      <c r="F136" s="2">
        <v>19</v>
      </c>
      <c r="G136" s="2">
        <v>15</v>
      </c>
      <c r="H136" s="2">
        <v>14</v>
      </c>
      <c r="I136" s="2">
        <v>14</v>
      </c>
      <c r="J136" s="2">
        <v>8</v>
      </c>
      <c r="K136" s="2">
        <v>7</v>
      </c>
      <c r="L136" s="2">
        <v>3</v>
      </c>
      <c r="M136" s="2">
        <v>7</v>
      </c>
      <c r="N136" s="2">
        <v>11</v>
      </c>
      <c r="O136" s="2">
        <v>11</v>
      </c>
      <c r="P136" s="2">
        <v>3</v>
      </c>
      <c r="Q136" s="2">
        <v>0</v>
      </c>
      <c r="R136" s="2">
        <v>4</v>
      </c>
      <c r="S136" s="2">
        <v>4</v>
      </c>
      <c r="T136" s="2">
        <v>2</v>
      </c>
      <c r="U136" s="22">
        <v>0</v>
      </c>
      <c r="V136" s="22">
        <v>0</v>
      </c>
      <c r="W136" s="22">
        <v>0</v>
      </c>
    </row>
    <row r="137" spans="1:23">
      <c r="A137" s="2">
        <v>620</v>
      </c>
      <c r="B137" s="2" t="s">
        <v>131</v>
      </c>
      <c r="C137" s="22">
        <v>24</v>
      </c>
      <c r="D137" s="2">
        <v>28</v>
      </c>
      <c r="E137" s="2">
        <v>15</v>
      </c>
      <c r="F137" s="2">
        <v>12</v>
      </c>
      <c r="G137" s="2">
        <v>7</v>
      </c>
      <c r="H137" s="2">
        <v>5</v>
      </c>
      <c r="I137" s="2">
        <v>21</v>
      </c>
      <c r="J137" s="2">
        <v>17</v>
      </c>
      <c r="K137" s="2">
        <v>19</v>
      </c>
      <c r="L137" s="2">
        <v>38</v>
      </c>
      <c r="M137" s="2">
        <v>21</v>
      </c>
      <c r="N137" s="2">
        <v>8</v>
      </c>
      <c r="O137" s="2">
        <v>13</v>
      </c>
      <c r="P137" s="2">
        <v>4</v>
      </c>
      <c r="Q137" s="2">
        <v>24</v>
      </c>
      <c r="R137" s="2">
        <v>14</v>
      </c>
      <c r="S137" s="2">
        <v>23</v>
      </c>
      <c r="T137" s="2">
        <v>39</v>
      </c>
      <c r="U137" s="22">
        <v>7</v>
      </c>
      <c r="V137" s="22">
        <v>2</v>
      </c>
      <c r="W137" s="22">
        <v>3</v>
      </c>
    </row>
    <row r="138" spans="1:23">
      <c r="A138" s="2">
        <v>625</v>
      </c>
      <c r="B138" s="2" t="s">
        <v>132</v>
      </c>
      <c r="C138" s="22">
        <v>6</v>
      </c>
      <c r="D138" s="2">
        <v>4</v>
      </c>
      <c r="E138" s="2">
        <v>8</v>
      </c>
      <c r="F138" s="2">
        <v>10</v>
      </c>
      <c r="G138" s="2">
        <v>5</v>
      </c>
      <c r="H138" s="2">
        <v>10</v>
      </c>
      <c r="I138" s="2">
        <v>3</v>
      </c>
      <c r="J138" s="2">
        <v>3</v>
      </c>
      <c r="K138" s="2">
        <v>5</v>
      </c>
      <c r="L138" s="2">
        <v>6</v>
      </c>
      <c r="M138" s="2">
        <v>8</v>
      </c>
      <c r="N138" s="2">
        <v>8</v>
      </c>
      <c r="O138" s="2">
        <v>2</v>
      </c>
      <c r="P138" s="2">
        <v>2</v>
      </c>
      <c r="Q138" s="2">
        <v>10</v>
      </c>
      <c r="R138" s="2">
        <v>29</v>
      </c>
      <c r="S138" s="2">
        <v>51</v>
      </c>
      <c r="T138" s="2">
        <v>45</v>
      </c>
      <c r="U138" s="22">
        <v>5</v>
      </c>
      <c r="V138" s="22">
        <v>3</v>
      </c>
      <c r="W138" s="22">
        <v>3</v>
      </c>
    </row>
    <row r="139" spans="1:23">
      <c r="A139" s="2">
        <v>630</v>
      </c>
      <c r="B139" s="2" t="s">
        <v>133</v>
      </c>
      <c r="C139" s="22">
        <v>52</v>
      </c>
      <c r="D139" s="2">
        <v>68</v>
      </c>
      <c r="E139" s="2">
        <v>51</v>
      </c>
      <c r="F139" s="2">
        <v>48</v>
      </c>
      <c r="G139" s="2">
        <v>34</v>
      </c>
      <c r="H139" s="2">
        <v>36</v>
      </c>
      <c r="I139" s="2">
        <v>34</v>
      </c>
      <c r="J139" s="2">
        <v>26</v>
      </c>
      <c r="K139" s="2">
        <v>38</v>
      </c>
      <c r="L139" s="2">
        <v>36</v>
      </c>
      <c r="M139" s="2">
        <v>17</v>
      </c>
      <c r="N139" s="2">
        <v>27</v>
      </c>
      <c r="O139" s="2">
        <v>20</v>
      </c>
      <c r="P139" s="2">
        <v>15</v>
      </c>
      <c r="Q139" s="2">
        <v>10</v>
      </c>
      <c r="R139" s="2">
        <v>29</v>
      </c>
      <c r="S139" s="2">
        <v>82</v>
      </c>
      <c r="T139" s="2">
        <v>84</v>
      </c>
      <c r="U139" s="22">
        <v>9</v>
      </c>
      <c r="V139" s="22">
        <v>1</v>
      </c>
      <c r="W139" s="22">
        <v>5</v>
      </c>
    </row>
    <row r="140" spans="1:23">
      <c r="A140" s="2">
        <v>640</v>
      </c>
      <c r="B140" s="2" t="s">
        <v>134</v>
      </c>
      <c r="C140" s="22">
        <v>45</v>
      </c>
      <c r="D140" s="2">
        <v>67</v>
      </c>
      <c r="E140" s="2">
        <v>58</v>
      </c>
      <c r="F140" s="2">
        <v>48</v>
      </c>
      <c r="G140" s="2">
        <v>40</v>
      </c>
      <c r="H140" s="2">
        <v>29</v>
      </c>
      <c r="I140" s="2">
        <v>54</v>
      </c>
      <c r="J140" s="2">
        <v>32</v>
      </c>
      <c r="K140" s="2">
        <v>36</v>
      </c>
      <c r="L140" s="2">
        <v>51</v>
      </c>
      <c r="M140" s="2">
        <v>17</v>
      </c>
      <c r="N140" s="2">
        <v>17</v>
      </c>
      <c r="O140" s="2">
        <v>16</v>
      </c>
      <c r="P140" s="2">
        <v>19</v>
      </c>
      <c r="Q140" s="2">
        <v>12</v>
      </c>
      <c r="R140" s="2">
        <v>29</v>
      </c>
      <c r="S140" s="2">
        <v>53</v>
      </c>
      <c r="T140" s="2">
        <v>48</v>
      </c>
      <c r="U140" s="22">
        <v>3</v>
      </c>
      <c r="V140" s="22">
        <v>2</v>
      </c>
      <c r="W140" s="22">
        <v>3</v>
      </c>
    </row>
    <row r="141" spans="1:23">
      <c r="A141" s="2">
        <v>645</v>
      </c>
      <c r="B141" s="2" t="s">
        <v>135</v>
      </c>
      <c r="C141" s="22">
        <v>197</v>
      </c>
      <c r="D141" s="2">
        <v>68</v>
      </c>
      <c r="E141" s="2">
        <v>21</v>
      </c>
      <c r="F141" s="2">
        <v>20</v>
      </c>
      <c r="G141" s="2">
        <v>19</v>
      </c>
      <c r="H141" s="2">
        <v>33</v>
      </c>
      <c r="I141" s="2">
        <v>42</v>
      </c>
      <c r="J141" s="2">
        <v>36</v>
      </c>
      <c r="K141" s="2">
        <v>60</v>
      </c>
      <c r="L141" s="2">
        <v>30</v>
      </c>
      <c r="M141" s="2">
        <v>55</v>
      </c>
      <c r="N141" s="2">
        <v>34</v>
      </c>
      <c r="O141" s="2">
        <v>25</v>
      </c>
      <c r="P141" s="2">
        <v>103</v>
      </c>
      <c r="Q141" s="2">
        <v>50</v>
      </c>
      <c r="R141" s="2">
        <v>129</v>
      </c>
      <c r="S141" s="2">
        <v>153</v>
      </c>
      <c r="T141" s="2">
        <v>138</v>
      </c>
      <c r="U141" s="22">
        <v>39</v>
      </c>
      <c r="V141" s="22">
        <v>17</v>
      </c>
      <c r="W141" s="22">
        <v>3</v>
      </c>
    </row>
    <row r="142" spans="1:23">
      <c r="A142" s="2">
        <v>651</v>
      </c>
      <c r="B142" s="2" t="s">
        <v>136</v>
      </c>
      <c r="C142" s="22">
        <v>78</v>
      </c>
      <c r="D142" s="2">
        <v>64</v>
      </c>
      <c r="E142" s="2">
        <v>47</v>
      </c>
      <c r="F142" s="2">
        <v>56</v>
      </c>
      <c r="G142" s="2">
        <v>69</v>
      </c>
      <c r="H142" s="2">
        <v>112</v>
      </c>
      <c r="I142" s="2">
        <v>110</v>
      </c>
      <c r="J142" s="2">
        <v>49</v>
      </c>
      <c r="K142" s="2">
        <v>34</v>
      </c>
      <c r="L142" s="2">
        <v>35</v>
      </c>
      <c r="M142" s="2">
        <v>53</v>
      </c>
      <c r="N142" s="2">
        <v>28</v>
      </c>
      <c r="O142" s="2">
        <v>25</v>
      </c>
      <c r="P142" s="2">
        <v>10</v>
      </c>
      <c r="Q142" s="2">
        <v>7</v>
      </c>
      <c r="R142" s="2">
        <v>47</v>
      </c>
      <c r="S142" s="2">
        <v>46</v>
      </c>
      <c r="T142" s="2">
        <v>60</v>
      </c>
      <c r="U142" s="22">
        <v>4</v>
      </c>
      <c r="V142" s="22">
        <v>12</v>
      </c>
      <c r="W142" s="22">
        <v>1</v>
      </c>
    </row>
    <row r="143" spans="1:23">
      <c r="A143" s="2">
        <v>652</v>
      </c>
      <c r="B143" s="2" t="s">
        <v>137</v>
      </c>
      <c r="C143" s="22">
        <v>60</v>
      </c>
      <c r="D143" s="2">
        <v>65</v>
      </c>
      <c r="E143" s="2">
        <v>53</v>
      </c>
      <c r="F143" s="2">
        <v>43</v>
      </c>
      <c r="G143" s="2">
        <v>57</v>
      </c>
      <c r="H143" s="2">
        <v>48</v>
      </c>
      <c r="I143" s="2">
        <v>48</v>
      </c>
      <c r="J143" s="2">
        <v>30</v>
      </c>
      <c r="K143" s="2">
        <v>23</v>
      </c>
      <c r="L143" s="2">
        <v>20</v>
      </c>
      <c r="M143" s="2">
        <v>28</v>
      </c>
      <c r="N143" s="2">
        <v>14</v>
      </c>
      <c r="O143" s="2">
        <v>7</v>
      </c>
      <c r="P143" s="2">
        <v>16</v>
      </c>
      <c r="Q143" s="2">
        <v>5</v>
      </c>
      <c r="R143" s="2">
        <v>31</v>
      </c>
      <c r="S143" s="2">
        <v>39</v>
      </c>
      <c r="T143" s="2">
        <v>32</v>
      </c>
      <c r="U143" s="22">
        <v>9</v>
      </c>
      <c r="V143" s="22">
        <v>6</v>
      </c>
      <c r="W143" s="22">
        <v>0</v>
      </c>
    </row>
    <row r="144" spans="1:23">
      <c r="A144" s="2">
        <v>660</v>
      </c>
      <c r="B144" s="2" t="s">
        <v>138</v>
      </c>
      <c r="C144" s="22">
        <v>18</v>
      </c>
      <c r="D144" s="2">
        <v>35</v>
      </c>
      <c r="E144" s="2">
        <v>12</v>
      </c>
      <c r="F144" s="2">
        <v>18</v>
      </c>
      <c r="G144" s="2">
        <v>16</v>
      </c>
      <c r="H144" s="2">
        <v>20</v>
      </c>
      <c r="I144" s="2">
        <v>30</v>
      </c>
      <c r="J144" s="2">
        <v>21</v>
      </c>
      <c r="K144" s="2">
        <v>13</v>
      </c>
      <c r="L144" s="2">
        <v>15</v>
      </c>
      <c r="M144" s="2">
        <v>25</v>
      </c>
      <c r="N144" s="2">
        <v>22</v>
      </c>
      <c r="O144" s="2">
        <v>13</v>
      </c>
      <c r="P144" s="2">
        <v>3</v>
      </c>
      <c r="Q144" s="2">
        <v>3</v>
      </c>
      <c r="R144" s="2">
        <v>40</v>
      </c>
      <c r="S144" s="2">
        <v>153</v>
      </c>
      <c r="T144" s="2">
        <v>44</v>
      </c>
      <c r="U144" s="22">
        <v>1</v>
      </c>
      <c r="V144" s="22">
        <v>1</v>
      </c>
      <c r="W144" s="22">
        <v>4</v>
      </c>
    </row>
    <row r="145" spans="1:23">
      <c r="A145" s="2">
        <v>663</v>
      </c>
      <c r="B145" s="2" t="s">
        <v>139</v>
      </c>
      <c r="C145" s="22">
        <v>110</v>
      </c>
      <c r="D145" s="2">
        <v>59</v>
      </c>
      <c r="E145" s="2">
        <v>23</v>
      </c>
      <c r="F145" s="2">
        <v>32</v>
      </c>
      <c r="G145" s="2">
        <v>46</v>
      </c>
      <c r="H145" s="2">
        <v>61</v>
      </c>
      <c r="I145" s="2">
        <v>44</v>
      </c>
      <c r="J145" s="2">
        <v>22</v>
      </c>
      <c r="K145" s="2">
        <v>23</v>
      </c>
      <c r="L145" s="2">
        <v>22</v>
      </c>
      <c r="M145" s="2">
        <v>11</v>
      </c>
      <c r="N145" s="2">
        <v>12</v>
      </c>
      <c r="O145" s="2">
        <v>8</v>
      </c>
      <c r="P145" s="2">
        <v>6</v>
      </c>
      <c r="Q145" s="2">
        <v>3</v>
      </c>
      <c r="R145" s="2">
        <v>33</v>
      </c>
      <c r="S145" s="2">
        <v>42</v>
      </c>
      <c r="T145" s="2">
        <v>35</v>
      </c>
      <c r="U145" s="22">
        <v>0</v>
      </c>
      <c r="V145" s="22">
        <v>1</v>
      </c>
      <c r="W145" s="22">
        <v>0</v>
      </c>
    </row>
    <row r="146" spans="1:23">
      <c r="A146" s="2">
        <v>666</v>
      </c>
      <c r="B146" s="2" t="s">
        <v>140</v>
      </c>
      <c r="C146" s="22">
        <v>20</v>
      </c>
      <c r="D146" s="2">
        <v>58</v>
      </c>
      <c r="E146" s="2">
        <v>47</v>
      </c>
      <c r="F146" s="2">
        <v>58</v>
      </c>
      <c r="G146" s="2">
        <v>69</v>
      </c>
      <c r="H146" s="2">
        <v>58</v>
      </c>
      <c r="I146" s="2">
        <v>69</v>
      </c>
      <c r="J146" s="2">
        <v>37</v>
      </c>
      <c r="K146" s="2">
        <v>59</v>
      </c>
      <c r="L146" s="2">
        <v>27</v>
      </c>
      <c r="M146" s="2">
        <v>41</v>
      </c>
      <c r="N146" s="2">
        <v>22</v>
      </c>
      <c r="O146" s="2">
        <v>18</v>
      </c>
      <c r="P146" s="2">
        <v>16</v>
      </c>
      <c r="Q146" s="2">
        <v>15</v>
      </c>
      <c r="R146" s="2">
        <v>102</v>
      </c>
      <c r="S146" s="2">
        <v>67</v>
      </c>
      <c r="T146" s="2">
        <v>72</v>
      </c>
      <c r="U146" s="22">
        <v>19</v>
      </c>
      <c r="V146" s="22">
        <v>7</v>
      </c>
      <c r="W146" s="22">
        <v>2</v>
      </c>
    </row>
    <row r="147" spans="1:23">
      <c r="A147" s="2">
        <v>670</v>
      </c>
      <c r="B147" s="2" t="s">
        <v>141</v>
      </c>
      <c r="C147" s="22">
        <v>74</v>
      </c>
      <c r="D147" s="2">
        <v>58</v>
      </c>
      <c r="E147" s="2">
        <v>39</v>
      </c>
      <c r="F147" s="2">
        <v>45</v>
      </c>
      <c r="G147" s="2">
        <v>54</v>
      </c>
      <c r="H147" s="2">
        <v>54</v>
      </c>
      <c r="I147" s="2">
        <v>50</v>
      </c>
      <c r="J147" s="2">
        <v>50</v>
      </c>
      <c r="K147" s="2">
        <v>41</v>
      </c>
      <c r="L147" s="2">
        <v>45</v>
      </c>
      <c r="M147" s="2">
        <v>53</v>
      </c>
      <c r="N147" s="2">
        <v>29</v>
      </c>
      <c r="O147" s="2">
        <v>19</v>
      </c>
      <c r="P147" s="2">
        <v>17</v>
      </c>
      <c r="Q147" s="2">
        <v>6</v>
      </c>
      <c r="R147" s="2">
        <v>76</v>
      </c>
      <c r="S147" s="2">
        <v>57</v>
      </c>
      <c r="T147" s="2">
        <v>83</v>
      </c>
      <c r="U147" s="22">
        <v>10</v>
      </c>
      <c r="V147" s="22">
        <v>14</v>
      </c>
      <c r="W147" s="22">
        <v>4</v>
      </c>
    </row>
    <row r="148" spans="1:23">
      <c r="A148" s="2">
        <v>679</v>
      </c>
      <c r="B148" s="2" t="s">
        <v>142</v>
      </c>
      <c r="C148" s="22">
        <v>11</v>
      </c>
      <c r="D148" s="2">
        <v>5</v>
      </c>
      <c r="E148" s="2">
        <v>8</v>
      </c>
      <c r="F148" s="2">
        <v>14</v>
      </c>
      <c r="G148" s="2">
        <v>20</v>
      </c>
      <c r="H148" s="2">
        <v>10</v>
      </c>
      <c r="I148" s="2">
        <v>18</v>
      </c>
      <c r="J148" s="2">
        <v>14</v>
      </c>
      <c r="K148" s="2">
        <v>7</v>
      </c>
      <c r="L148" s="2">
        <v>7</v>
      </c>
      <c r="M148" s="2">
        <v>11</v>
      </c>
      <c r="N148" s="2">
        <v>15</v>
      </c>
      <c r="O148" s="2">
        <v>5</v>
      </c>
      <c r="P148" s="2">
        <v>3</v>
      </c>
      <c r="Q148" s="2">
        <v>0</v>
      </c>
      <c r="R148" s="2">
        <v>9</v>
      </c>
      <c r="S148" s="2">
        <v>2</v>
      </c>
      <c r="T148" s="2">
        <v>6</v>
      </c>
      <c r="U148" s="22">
        <v>1</v>
      </c>
      <c r="V148" s="22">
        <v>1</v>
      </c>
      <c r="W148" s="22">
        <v>1</v>
      </c>
    </row>
    <row r="149" spans="1:23">
      <c r="A149" s="2">
        <v>690</v>
      </c>
      <c r="B149" s="2" t="s">
        <v>143</v>
      </c>
      <c r="C149" s="22">
        <v>36</v>
      </c>
      <c r="D149" s="2">
        <v>66</v>
      </c>
      <c r="E149" s="2">
        <v>34</v>
      </c>
      <c r="F149" s="2">
        <v>28</v>
      </c>
      <c r="G149" s="2">
        <v>35</v>
      </c>
      <c r="H149" s="2">
        <v>30</v>
      </c>
      <c r="I149" s="2">
        <v>24</v>
      </c>
      <c r="J149" s="2">
        <v>24</v>
      </c>
      <c r="K149" s="2">
        <v>28</v>
      </c>
      <c r="L149" s="2">
        <v>12</v>
      </c>
      <c r="M149" s="2">
        <v>17</v>
      </c>
      <c r="N149" s="2">
        <v>8</v>
      </c>
      <c r="O149" s="2">
        <v>8</v>
      </c>
      <c r="P149" s="2">
        <v>14</v>
      </c>
      <c r="Q149" s="2">
        <v>8</v>
      </c>
      <c r="R149" s="2">
        <v>7</v>
      </c>
      <c r="S149" s="2">
        <v>8</v>
      </c>
      <c r="T149" s="2">
        <v>7</v>
      </c>
      <c r="U149" s="22">
        <v>3</v>
      </c>
      <c r="V149" s="22">
        <v>0</v>
      </c>
      <c r="W149" s="22">
        <v>0</v>
      </c>
    </row>
    <row r="150" spans="1:23">
      <c r="A150" s="2">
        <v>692</v>
      </c>
      <c r="B150" s="2" t="s">
        <v>144</v>
      </c>
      <c r="C150" s="22">
        <v>20</v>
      </c>
      <c r="D150" s="2">
        <v>12</v>
      </c>
      <c r="E150" s="2">
        <v>16</v>
      </c>
      <c r="F150" s="2">
        <v>12</v>
      </c>
      <c r="G150" s="2">
        <v>11</v>
      </c>
      <c r="H150" s="2">
        <v>8</v>
      </c>
      <c r="I150" s="2">
        <v>15</v>
      </c>
      <c r="J150" s="2">
        <v>7</v>
      </c>
      <c r="K150" s="2">
        <v>7</v>
      </c>
      <c r="L150" s="2">
        <v>8</v>
      </c>
      <c r="M150" s="2">
        <v>10</v>
      </c>
      <c r="N150" s="2">
        <v>5</v>
      </c>
      <c r="O150" s="2">
        <v>5</v>
      </c>
      <c r="P150" s="2">
        <v>2</v>
      </c>
      <c r="Q150" s="2">
        <v>1</v>
      </c>
      <c r="R150" s="2">
        <v>5</v>
      </c>
      <c r="S150" s="2">
        <v>1</v>
      </c>
      <c r="T150" s="2">
        <v>6</v>
      </c>
      <c r="U150" s="22">
        <v>1</v>
      </c>
      <c r="V150">
        <v>1</v>
      </c>
      <c r="W150" s="22">
        <v>0</v>
      </c>
    </row>
    <row r="151" spans="1:23">
      <c r="A151" s="2">
        <v>694</v>
      </c>
      <c r="B151" s="2" t="s">
        <v>145</v>
      </c>
      <c r="C151" s="22">
        <v>10</v>
      </c>
      <c r="D151" s="2">
        <v>4</v>
      </c>
      <c r="E151" s="2">
        <v>12</v>
      </c>
      <c r="F151" s="2">
        <v>15</v>
      </c>
      <c r="G151" s="2">
        <v>21</v>
      </c>
      <c r="H151" s="2">
        <v>26</v>
      </c>
      <c r="I151" s="2">
        <v>17</v>
      </c>
      <c r="J151" s="2">
        <v>9</v>
      </c>
      <c r="K151" s="2">
        <v>7</v>
      </c>
      <c r="L151" s="2">
        <v>6</v>
      </c>
      <c r="M151" s="2">
        <v>6</v>
      </c>
      <c r="N151" s="2">
        <v>5</v>
      </c>
      <c r="O151" s="2">
        <v>2</v>
      </c>
      <c r="P151" s="2">
        <v>7</v>
      </c>
      <c r="Q151" s="2">
        <v>5</v>
      </c>
      <c r="R151" s="2">
        <v>11</v>
      </c>
      <c r="S151" s="2">
        <v>11</v>
      </c>
      <c r="T151" s="2">
        <v>13</v>
      </c>
      <c r="U151" s="22">
        <v>4</v>
      </c>
      <c r="V151" s="22">
        <v>3</v>
      </c>
      <c r="W151" s="22">
        <v>1</v>
      </c>
    </row>
    <row r="152" spans="1:23">
      <c r="A152" s="2">
        <v>696</v>
      </c>
      <c r="B152" s="2" t="s">
        <v>146</v>
      </c>
      <c r="C152" s="22">
        <v>19</v>
      </c>
      <c r="D152" s="2">
        <v>11</v>
      </c>
      <c r="E152" s="2">
        <v>17</v>
      </c>
      <c r="F152" s="2">
        <v>23</v>
      </c>
      <c r="G152" s="2">
        <v>24</v>
      </c>
      <c r="H152" s="2">
        <v>29</v>
      </c>
      <c r="I152" s="2">
        <v>30</v>
      </c>
      <c r="J152" s="2">
        <v>12</v>
      </c>
      <c r="K152" s="2">
        <v>15</v>
      </c>
      <c r="L152" s="2">
        <v>13</v>
      </c>
      <c r="M152" s="2">
        <v>8</v>
      </c>
      <c r="N152" s="2">
        <v>4</v>
      </c>
      <c r="O152" s="2">
        <v>12</v>
      </c>
      <c r="P152" s="2">
        <v>6</v>
      </c>
      <c r="Q152" s="2">
        <v>4</v>
      </c>
      <c r="R152" s="2">
        <v>11</v>
      </c>
      <c r="S152" s="2">
        <v>11</v>
      </c>
      <c r="T152" s="2">
        <v>30</v>
      </c>
      <c r="U152" s="22">
        <v>1</v>
      </c>
      <c r="V152" s="22">
        <v>7</v>
      </c>
      <c r="W152" s="22">
        <v>0</v>
      </c>
    </row>
    <row r="153" spans="1:23">
      <c r="A153" s="2">
        <v>698</v>
      </c>
      <c r="B153" s="2" t="s">
        <v>147</v>
      </c>
      <c r="C153" s="22">
        <v>8</v>
      </c>
      <c r="D153" s="2">
        <v>6</v>
      </c>
      <c r="E153" s="2">
        <v>13</v>
      </c>
      <c r="F153" s="2">
        <v>15</v>
      </c>
      <c r="G153" s="2">
        <v>30</v>
      </c>
      <c r="H153" s="2">
        <v>14</v>
      </c>
      <c r="I153" s="2">
        <v>12</v>
      </c>
      <c r="J153" s="2">
        <v>7</v>
      </c>
      <c r="K153" s="2">
        <v>5</v>
      </c>
      <c r="L153" s="2">
        <v>3</v>
      </c>
      <c r="M153" s="2">
        <v>5</v>
      </c>
      <c r="N153" s="2">
        <v>1</v>
      </c>
      <c r="O153" s="2">
        <v>2</v>
      </c>
      <c r="P153" s="2">
        <v>1</v>
      </c>
      <c r="Q153" s="2">
        <v>0</v>
      </c>
      <c r="R153" s="2">
        <v>4</v>
      </c>
      <c r="S153" s="2">
        <v>0</v>
      </c>
      <c r="T153" s="2">
        <v>5</v>
      </c>
      <c r="U153" s="22">
        <v>1</v>
      </c>
      <c r="V153" s="22">
        <v>0</v>
      </c>
      <c r="W153">
        <v>1</v>
      </c>
    </row>
    <row r="154" spans="1:23">
      <c r="A154" s="2">
        <v>700</v>
      </c>
      <c r="B154" s="2" t="s">
        <v>148</v>
      </c>
      <c r="C154" s="22">
        <v>2</v>
      </c>
      <c r="D154" s="2">
        <v>1</v>
      </c>
      <c r="E154" s="2">
        <v>10</v>
      </c>
      <c r="F154" s="2">
        <v>9</v>
      </c>
      <c r="G154" s="2">
        <v>4</v>
      </c>
      <c r="H154" s="2">
        <v>11</v>
      </c>
      <c r="I154" s="2">
        <v>8</v>
      </c>
      <c r="J154" s="2">
        <v>6</v>
      </c>
      <c r="K154" s="2">
        <v>1</v>
      </c>
      <c r="L154" s="2">
        <v>4</v>
      </c>
      <c r="M154" s="2">
        <v>2</v>
      </c>
      <c r="N154" s="2">
        <v>42</v>
      </c>
      <c r="O154" s="2">
        <v>43</v>
      </c>
      <c r="P154" s="2">
        <v>14</v>
      </c>
      <c r="Q154" s="2">
        <v>11</v>
      </c>
      <c r="R154" s="2">
        <v>83</v>
      </c>
      <c r="S154" s="2">
        <v>50</v>
      </c>
      <c r="T154" s="2">
        <v>79</v>
      </c>
      <c r="U154" s="22">
        <v>17</v>
      </c>
      <c r="V154" s="22">
        <v>10</v>
      </c>
      <c r="W154" s="22">
        <v>8</v>
      </c>
    </row>
    <row r="155" spans="1:23">
      <c r="A155" s="2">
        <v>701</v>
      </c>
      <c r="B155" s="2" t="s">
        <v>149</v>
      </c>
      <c r="C155" s="22">
        <v>0</v>
      </c>
      <c r="D155" s="2">
        <v>0</v>
      </c>
      <c r="E155" s="2">
        <v>3</v>
      </c>
      <c r="F155" s="2">
        <v>3</v>
      </c>
      <c r="G155" s="2">
        <v>11</v>
      </c>
      <c r="H155" s="2">
        <v>4</v>
      </c>
      <c r="I155" s="2">
        <v>2</v>
      </c>
      <c r="J155" s="2">
        <v>2</v>
      </c>
      <c r="K155" s="2">
        <v>1</v>
      </c>
      <c r="L155" s="2">
        <v>4</v>
      </c>
      <c r="M155" s="2">
        <v>9</v>
      </c>
      <c r="N155" s="2">
        <v>4</v>
      </c>
      <c r="O155" s="2">
        <v>0</v>
      </c>
      <c r="P155" s="2">
        <v>0</v>
      </c>
      <c r="Q155" s="2">
        <v>0</v>
      </c>
      <c r="R155" s="2">
        <v>4</v>
      </c>
      <c r="S155" s="2">
        <v>1</v>
      </c>
      <c r="T155" s="2">
        <v>4</v>
      </c>
      <c r="U155" s="22">
        <v>1</v>
      </c>
      <c r="V155" s="22">
        <v>1</v>
      </c>
      <c r="W155" s="22">
        <v>0</v>
      </c>
    </row>
    <row r="156" spans="1:23">
      <c r="A156" s="2">
        <v>702</v>
      </c>
      <c r="B156" s="2" t="s">
        <v>150</v>
      </c>
      <c r="C156" s="22">
        <v>0</v>
      </c>
      <c r="D156" s="2">
        <v>0</v>
      </c>
      <c r="E156" s="2">
        <v>2</v>
      </c>
      <c r="F156" s="2">
        <v>4</v>
      </c>
      <c r="G156" s="2">
        <v>1</v>
      </c>
      <c r="H156" s="2">
        <v>0</v>
      </c>
      <c r="I156" s="2">
        <v>3</v>
      </c>
      <c r="J156" s="2">
        <v>4</v>
      </c>
      <c r="K156" s="2">
        <v>2</v>
      </c>
      <c r="L156" s="2">
        <v>0</v>
      </c>
      <c r="M156" s="2">
        <v>5</v>
      </c>
      <c r="N156" s="2">
        <v>7</v>
      </c>
      <c r="O156" s="2">
        <v>4</v>
      </c>
      <c r="P156" s="2">
        <v>0</v>
      </c>
      <c r="Q156" s="2">
        <v>0</v>
      </c>
      <c r="R156" s="2">
        <v>3</v>
      </c>
      <c r="S156" s="2">
        <v>8</v>
      </c>
      <c r="T156" s="2">
        <v>1</v>
      </c>
      <c r="U156" s="22">
        <v>1</v>
      </c>
      <c r="V156" s="22">
        <v>1</v>
      </c>
      <c r="W156" s="22">
        <v>0</v>
      </c>
    </row>
    <row r="157" spans="1:23">
      <c r="A157" s="2">
        <v>703</v>
      </c>
      <c r="B157" s="2" t="s">
        <v>151</v>
      </c>
      <c r="C157" s="22">
        <v>0</v>
      </c>
      <c r="D157" s="2">
        <v>0</v>
      </c>
      <c r="E157" s="2">
        <v>2</v>
      </c>
      <c r="F157" s="2">
        <v>1</v>
      </c>
      <c r="G157" s="2">
        <v>0</v>
      </c>
      <c r="H157" s="2">
        <v>0</v>
      </c>
      <c r="I157" s="2">
        <v>5</v>
      </c>
      <c r="J157" s="2">
        <v>4</v>
      </c>
      <c r="K157" s="2">
        <v>1</v>
      </c>
      <c r="L157" s="2">
        <v>6</v>
      </c>
      <c r="M157" s="2">
        <v>2</v>
      </c>
      <c r="N157" s="2">
        <v>1</v>
      </c>
      <c r="O157" s="2">
        <v>2</v>
      </c>
      <c r="P157" s="2">
        <v>0</v>
      </c>
      <c r="Q157" s="2">
        <v>0</v>
      </c>
      <c r="R157" s="2">
        <v>12</v>
      </c>
      <c r="S157" s="2">
        <v>0</v>
      </c>
      <c r="T157" s="2">
        <v>5</v>
      </c>
      <c r="U157" s="22">
        <v>1</v>
      </c>
      <c r="V157" s="22">
        <v>0</v>
      </c>
      <c r="W157">
        <v>2</v>
      </c>
    </row>
    <row r="158" spans="1:23">
      <c r="A158" s="2">
        <v>704</v>
      </c>
      <c r="B158" s="2" t="s">
        <v>152</v>
      </c>
      <c r="C158" s="22">
        <v>0</v>
      </c>
      <c r="D158" s="2">
        <v>0</v>
      </c>
      <c r="E158" s="2">
        <v>4</v>
      </c>
      <c r="F158" s="2">
        <v>4</v>
      </c>
      <c r="G158" s="2">
        <v>5</v>
      </c>
      <c r="H158" s="2">
        <v>0</v>
      </c>
      <c r="I158" s="2">
        <v>5</v>
      </c>
      <c r="J158" s="2">
        <v>3</v>
      </c>
      <c r="K158" s="2">
        <v>4</v>
      </c>
      <c r="L158" s="2">
        <v>4</v>
      </c>
      <c r="M158" s="2">
        <v>3</v>
      </c>
      <c r="N158" s="2">
        <v>7</v>
      </c>
      <c r="O158" s="2">
        <v>6</v>
      </c>
      <c r="P158" s="2">
        <v>2</v>
      </c>
      <c r="Q158" s="2">
        <v>0</v>
      </c>
      <c r="R158" s="2">
        <v>4</v>
      </c>
      <c r="S158" s="2">
        <v>7</v>
      </c>
      <c r="T158" s="2">
        <v>0</v>
      </c>
      <c r="U158" s="22">
        <v>1</v>
      </c>
      <c r="V158" s="22">
        <v>1</v>
      </c>
      <c r="W158" s="22">
        <v>0</v>
      </c>
    </row>
    <row r="159" spans="1:23">
      <c r="A159" s="2">
        <v>705</v>
      </c>
      <c r="B159" s="2" t="s">
        <v>153</v>
      </c>
      <c r="C159" s="22">
        <v>0</v>
      </c>
      <c r="D159" s="2">
        <v>0</v>
      </c>
      <c r="E159" s="2">
        <v>4</v>
      </c>
      <c r="F159" s="2">
        <v>6</v>
      </c>
      <c r="G159" s="2">
        <v>2</v>
      </c>
      <c r="H159" s="2">
        <v>4</v>
      </c>
      <c r="I159" s="2">
        <v>11</v>
      </c>
      <c r="J159" s="2">
        <v>11</v>
      </c>
      <c r="K159" s="2">
        <v>9</v>
      </c>
      <c r="L159" s="2">
        <v>2</v>
      </c>
      <c r="M159" s="2">
        <v>9</v>
      </c>
      <c r="N159" s="2">
        <v>3</v>
      </c>
      <c r="O159" s="2">
        <v>2</v>
      </c>
      <c r="P159" s="2">
        <v>0</v>
      </c>
      <c r="Q159" s="2">
        <v>3</v>
      </c>
      <c r="R159" s="2">
        <v>17</v>
      </c>
      <c r="S159" s="2">
        <v>5</v>
      </c>
      <c r="T159" s="2">
        <v>6</v>
      </c>
      <c r="U159" s="22">
        <v>2</v>
      </c>
      <c r="V159" s="22">
        <v>1</v>
      </c>
      <c r="W159" s="22">
        <v>2</v>
      </c>
    </row>
    <row r="160" spans="1:23">
      <c r="A160" s="2">
        <v>710</v>
      </c>
      <c r="B160" s="2" t="s">
        <v>154</v>
      </c>
      <c r="C160" s="22">
        <v>57</v>
      </c>
      <c r="D160" s="2">
        <v>98</v>
      </c>
      <c r="E160" s="2">
        <v>100</v>
      </c>
      <c r="F160" s="2">
        <v>95</v>
      </c>
      <c r="G160" s="2">
        <v>119</v>
      </c>
      <c r="H160" s="2">
        <v>122</v>
      </c>
      <c r="I160" s="2">
        <v>116</v>
      </c>
      <c r="J160" s="2">
        <v>119</v>
      </c>
      <c r="K160" s="2">
        <v>116</v>
      </c>
      <c r="L160" s="2">
        <v>109</v>
      </c>
      <c r="M160" s="2">
        <v>91</v>
      </c>
      <c r="N160" s="2">
        <v>90</v>
      </c>
      <c r="O160" s="2">
        <v>71</v>
      </c>
      <c r="P160" s="2">
        <v>56</v>
      </c>
      <c r="Q160" s="2">
        <v>51</v>
      </c>
      <c r="R160" s="2">
        <v>214</v>
      </c>
      <c r="S160" s="2">
        <v>230</v>
      </c>
      <c r="T160" s="2">
        <v>111</v>
      </c>
      <c r="U160" s="22">
        <v>49</v>
      </c>
      <c r="V160" s="22">
        <v>32</v>
      </c>
      <c r="W160" s="22">
        <v>32</v>
      </c>
    </row>
    <row r="161" spans="1:23">
      <c r="A161" s="2">
        <v>712</v>
      </c>
      <c r="B161" s="2" t="s">
        <v>155</v>
      </c>
      <c r="C161" s="22">
        <v>3</v>
      </c>
      <c r="D161" s="2">
        <v>4</v>
      </c>
      <c r="E161" s="2">
        <v>0</v>
      </c>
      <c r="F161" s="2">
        <v>2</v>
      </c>
      <c r="G161" s="2">
        <v>1</v>
      </c>
      <c r="H161" s="2">
        <v>6</v>
      </c>
      <c r="I161" s="2">
        <v>1</v>
      </c>
      <c r="J161" s="2">
        <v>1</v>
      </c>
      <c r="K161" s="2">
        <v>2</v>
      </c>
      <c r="L161" s="2">
        <v>3</v>
      </c>
      <c r="M161" s="2">
        <v>2</v>
      </c>
      <c r="N161" s="2">
        <v>0</v>
      </c>
      <c r="O161" s="2">
        <v>1</v>
      </c>
      <c r="P161" s="2">
        <v>0</v>
      </c>
      <c r="Q161" s="2">
        <v>0</v>
      </c>
      <c r="R161" s="2">
        <v>7</v>
      </c>
      <c r="S161" s="2">
        <v>2</v>
      </c>
      <c r="T161" s="2">
        <v>4</v>
      </c>
      <c r="U161" s="22">
        <v>0</v>
      </c>
      <c r="V161" s="22">
        <v>0</v>
      </c>
      <c r="W161" s="22">
        <v>0</v>
      </c>
    </row>
    <row r="162" spans="1:23">
      <c r="A162" s="2">
        <v>713</v>
      </c>
      <c r="B162" s="2" t="s">
        <v>156</v>
      </c>
      <c r="C162" s="22">
        <v>10</v>
      </c>
      <c r="D162" s="2">
        <v>25</v>
      </c>
      <c r="E162" s="2">
        <v>31</v>
      </c>
      <c r="F162" s="2">
        <v>31</v>
      </c>
      <c r="G162" s="2">
        <v>12</v>
      </c>
      <c r="H162" s="2">
        <v>10</v>
      </c>
      <c r="I162" s="2">
        <v>34</v>
      </c>
      <c r="J162" s="2">
        <v>19</v>
      </c>
      <c r="K162" s="2">
        <v>15</v>
      </c>
      <c r="L162" s="2">
        <v>10</v>
      </c>
      <c r="M162" s="2">
        <v>12</v>
      </c>
      <c r="N162" s="2">
        <v>12</v>
      </c>
      <c r="O162" s="2">
        <v>4</v>
      </c>
      <c r="P162" s="2">
        <v>0</v>
      </c>
      <c r="Q162" s="2">
        <v>1</v>
      </c>
      <c r="R162" s="2">
        <v>20</v>
      </c>
      <c r="S162" s="2">
        <v>3</v>
      </c>
      <c r="T162" s="2">
        <v>2</v>
      </c>
      <c r="U162" s="22">
        <v>2</v>
      </c>
      <c r="V162" s="22">
        <v>0</v>
      </c>
      <c r="W162" s="22">
        <v>0</v>
      </c>
    </row>
    <row r="163" spans="1:23">
      <c r="A163" s="2">
        <v>731</v>
      </c>
      <c r="B163" s="2" t="s">
        <v>157</v>
      </c>
      <c r="C163" s="22">
        <v>15</v>
      </c>
      <c r="D163" s="2">
        <v>14</v>
      </c>
      <c r="E163" s="2">
        <v>20</v>
      </c>
      <c r="F163" s="2">
        <v>17</v>
      </c>
      <c r="G163" s="2">
        <v>36</v>
      </c>
      <c r="H163" s="2">
        <v>35</v>
      </c>
      <c r="I163" s="2">
        <v>23</v>
      </c>
      <c r="J163" s="2">
        <v>16</v>
      </c>
      <c r="K163" s="2">
        <v>20</v>
      </c>
      <c r="L163" s="2">
        <v>19</v>
      </c>
      <c r="M163" s="2">
        <v>40</v>
      </c>
      <c r="N163" s="2">
        <v>12</v>
      </c>
      <c r="O163" s="2">
        <v>31</v>
      </c>
      <c r="P163" s="2">
        <v>27</v>
      </c>
      <c r="Q163" s="2">
        <v>27</v>
      </c>
      <c r="R163" s="2">
        <v>53</v>
      </c>
      <c r="S163" s="2">
        <v>48</v>
      </c>
      <c r="T163" s="2">
        <v>85</v>
      </c>
      <c r="U163" s="22">
        <v>8</v>
      </c>
      <c r="V163" s="22">
        <v>14</v>
      </c>
      <c r="W163" s="22">
        <v>9</v>
      </c>
    </row>
    <row r="164" spans="1:23">
      <c r="A164" s="2">
        <v>732</v>
      </c>
      <c r="B164" s="2" t="s">
        <v>158</v>
      </c>
      <c r="C164" s="22">
        <v>30</v>
      </c>
      <c r="D164" s="2">
        <v>46</v>
      </c>
      <c r="E164" s="2">
        <v>47</v>
      </c>
      <c r="F164" s="2">
        <v>49</v>
      </c>
      <c r="G164" s="2">
        <v>55</v>
      </c>
      <c r="H164" s="2">
        <v>45</v>
      </c>
      <c r="I164" s="2">
        <v>39</v>
      </c>
      <c r="J164" s="2">
        <v>34</v>
      </c>
      <c r="K164" s="2">
        <v>27</v>
      </c>
      <c r="L164" s="2">
        <v>46</v>
      </c>
      <c r="M164" s="2">
        <v>37</v>
      </c>
      <c r="N164" s="2">
        <v>34</v>
      </c>
      <c r="O164" s="2">
        <v>40</v>
      </c>
      <c r="P164" s="2">
        <v>28</v>
      </c>
      <c r="Q164" s="2">
        <v>17</v>
      </c>
      <c r="R164" s="2">
        <v>74</v>
      </c>
      <c r="S164" s="2">
        <v>56</v>
      </c>
      <c r="T164" s="2">
        <v>48</v>
      </c>
      <c r="U164" s="22">
        <v>11</v>
      </c>
      <c r="V164" s="22">
        <v>10</v>
      </c>
      <c r="W164" s="22">
        <v>19</v>
      </c>
    </row>
    <row r="165" spans="1:23">
      <c r="A165" s="2">
        <v>740</v>
      </c>
      <c r="B165" s="2" t="s">
        <v>159</v>
      </c>
      <c r="C165" s="22">
        <v>68</v>
      </c>
      <c r="D165" s="2">
        <v>65</v>
      </c>
      <c r="E165" s="2">
        <v>76</v>
      </c>
      <c r="F165" s="2">
        <v>74</v>
      </c>
      <c r="G165" s="2">
        <v>69</v>
      </c>
      <c r="H165" s="2">
        <v>93</v>
      </c>
      <c r="I165" s="2">
        <v>65</v>
      </c>
      <c r="J165" s="2">
        <v>93</v>
      </c>
      <c r="K165" s="2">
        <v>93</v>
      </c>
      <c r="L165" s="2">
        <v>52</v>
      </c>
      <c r="M165" s="2">
        <v>73</v>
      </c>
      <c r="N165" s="2">
        <v>39</v>
      </c>
      <c r="O165" s="2">
        <v>42</v>
      </c>
      <c r="P165" s="2">
        <v>34</v>
      </c>
      <c r="Q165" s="2">
        <v>16</v>
      </c>
      <c r="R165" s="2">
        <v>109</v>
      </c>
      <c r="S165" s="2">
        <v>70</v>
      </c>
      <c r="T165" s="2">
        <v>93</v>
      </c>
      <c r="U165" s="22">
        <v>10</v>
      </c>
      <c r="V165" s="22">
        <v>8</v>
      </c>
      <c r="W165" s="22">
        <v>17</v>
      </c>
    </row>
    <row r="166" spans="1:23">
      <c r="A166" s="2">
        <v>750</v>
      </c>
      <c r="B166" s="2" t="s">
        <v>160</v>
      </c>
      <c r="C166" s="22">
        <v>15</v>
      </c>
      <c r="D166" s="2">
        <v>14</v>
      </c>
      <c r="E166" s="2">
        <v>21</v>
      </c>
      <c r="F166" s="2">
        <v>32</v>
      </c>
      <c r="G166" s="2">
        <v>51</v>
      </c>
      <c r="H166" s="2">
        <v>42</v>
      </c>
      <c r="I166" s="2">
        <v>55</v>
      </c>
      <c r="J166" s="2">
        <v>45</v>
      </c>
      <c r="K166" s="2">
        <v>33</v>
      </c>
      <c r="L166" s="2">
        <v>33</v>
      </c>
      <c r="M166" s="2">
        <v>50</v>
      </c>
      <c r="N166" s="2">
        <v>52</v>
      </c>
      <c r="O166" s="2">
        <v>60</v>
      </c>
      <c r="P166" s="2">
        <v>15</v>
      </c>
      <c r="Q166" s="2">
        <v>22</v>
      </c>
      <c r="R166" s="2">
        <v>89</v>
      </c>
      <c r="S166" s="2">
        <v>86</v>
      </c>
      <c r="T166" s="2">
        <v>49</v>
      </c>
      <c r="U166" s="22">
        <v>9</v>
      </c>
      <c r="V166" s="22">
        <v>11</v>
      </c>
      <c r="W166" s="22">
        <v>15</v>
      </c>
    </row>
    <row r="167" spans="1:23">
      <c r="A167" s="2">
        <v>760</v>
      </c>
      <c r="B167" s="2" t="s">
        <v>161</v>
      </c>
      <c r="C167" s="2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2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2">
        <v>0</v>
      </c>
      <c r="V167" s="22">
        <v>0</v>
      </c>
      <c r="W167" s="22">
        <v>0</v>
      </c>
    </row>
    <row r="168" spans="1:23">
      <c r="A168" s="2">
        <v>770</v>
      </c>
      <c r="B168" s="2" t="s">
        <v>162</v>
      </c>
      <c r="C168" s="22">
        <v>12</v>
      </c>
      <c r="D168" s="2">
        <v>18</v>
      </c>
      <c r="E168" s="2">
        <v>32</v>
      </c>
      <c r="F168" s="2">
        <v>15</v>
      </c>
      <c r="G168" s="2">
        <v>22</v>
      </c>
      <c r="H168" s="2">
        <v>36</v>
      </c>
      <c r="I168" s="2">
        <v>22</v>
      </c>
      <c r="J168" s="2">
        <v>23</v>
      </c>
      <c r="K168" s="2">
        <v>17</v>
      </c>
      <c r="L168" s="2">
        <v>19</v>
      </c>
      <c r="M168" s="2">
        <v>19</v>
      </c>
      <c r="N168" s="2">
        <v>48</v>
      </c>
      <c r="O168" s="2">
        <v>39</v>
      </c>
      <c r="P168" s="2">
        <v>22</v>
      </c>
      <c r="Q168" s="2">
        <v>19</v>
      </c>
      <c r="R168" s="2">
        <v>97</v>
      </c>
      <c r="S168" s="2">
        <v>77</v>
      </c>
      <c r="T168" s="2">
        <v>43</v>
      </c>
      <c r="U168" s="22">
        <v>15</v>
      </c>
      <c r="V168" s="22">
        <v>6</v>
      </c>
      <c r="W168" s="22">
        <v>4</v>
      </c>
    </row>
    <row r="169" spans="1:23">
      <c r="A169" s="2">
        <v>771</v>
      </c>
      <c r="B169" s="2" t="s">
        <v>163</v>
      </c>
      <c r="C169" s="22">
        <v>6</v>
      </c>
      <c r="D169" s="2">
        <v>9</v>
      </c>
      <c r="E169" s="2">
        <v>13</v>
      </c>
      <c r="F169" s="2">
        <v>11</v>
      </c>
      <c r="G169" s="2">
        <v>9</v>
      </c>
      <c r="H169" s="2">
        <v>11</v>
      </c>
      <c r="I169" s="2">
        <v>5</v>
      </c>
      <c r="J169" s="2">
        <v>12</v>
      </c>
      <c r="K169" s="2">
        <v>7</v>
      </c>
      <c r="L169" s="2">
        <v>6</v>
      </c>
      <c r="M169" s="2">
        <v>13</v>
      </c>
      <c r="N169" s="2">
        <v>5</v>
      </c>
      <c r="O169" s="2">
        <v>11</v>
      </c>
      <c r="P169" s="2">
        <v>3</v>
      </c>
      <c r="Q169" s="2">
        <v>5</v>
      </c>
      <c r="R169" s="2">
        <v>10</v>
      </c>
      <c r="S169" s="2">
        <v>1</v>
      </c>
      <c r="T169" s="2">
        <v>8</v>
      </c>
      <c r="U169" s="22">
        <v>2</v>
      </c>
      <c r="V169" s="22">
        <v>2</v>
      </c>
      <c r="W169" s="22">
        <v>0</v>
      </c>
    </row>
    <row r="170" spans="1:23">
      <c r="A170" s="2">
        <v>775</v>
      </c>
      <c r="B170" s="2" t="s">
        <v>164</v>
      </c>
      <c r="C170" s="22">
        <v>3</v>
      </c>
      <c r="D170" s="2">
        <v>6</v>
      </c>
      <c r="E170" s="2">
        <v>5</v>
      </c>
      <c r="F170" s="2">
        <v>2</v>
      </c>
      <c r="G170" s="2">
        <v>16</v>
      </c>
      <c r="H170" s="2">
        <v>8</v>
      </c>
      <c r="I170" s="2">
        <v>12</v>
      </c>
      <c r="J170" s="2">
        <v>17</v>
      </c>
      <c r="K170" s="2">
        <v>8</v>
      </c>
      <c r="L170" s="2">
        <v>4</v>
      </c>
      <c r="M170" s="2">
        <v>6</v>
      </c>
      <c r="N170" s="2">
        <v>18</v>
      </c>
      <c r="O170" s="2">
        <v>12</v>
      </c>
      <c r="P170" s="2">
        <v>5</v>
      </c>
      <c r="Q170" s="2">
        <v>2</v>
      </c>
      <c r="R170" s="2">
        <v>8</v>
      </c>
      <c r="S170" s="2">
        <v>14</v>
      </c>
      <c r="T170" s="2">
        <v>11</v>
      </c>
      <c r="U170" s="22">
        <v>2</v>
      </c>
      <c r="V170" s="22">
        <v>3</v>
      </c>
      <c r="W170" s="22">
        <v>3</v>
      </c>
    </row>
    <row r="171" spans="1:23">
      <c r="A171" s="2">
        <v>780</v>
      </c>
      <c r="B171" s="2" t="s">
        <v>165</v>
      </c>
      <c r="C171" s="22">
        <v>6</v>
      </c>
      <c r="D171" s="2">
        <v>9</v>
      </c>
      <c r="E171" s="2">
        <v>7</v>
      </c>
      <c r="F171" s="2">
        <v>4</v>
      </c>
      <c r="G171" s="2">
        <v>5</v>
      </c>
      <c r="H171" s="2">
        <v>15</v>
      </c>
      <c r="I171" s="2">
        <v>4</v>
      </c>
      <c r="J171" s="2">
        <v>11</v>
      </c>
      <c r="K171" s="2">
        <v>6</v>
      </c>
      <c r="L171" s="2">
        <v>7</v>
      </c>
      <c r="M171" s="2">
        <v>13</v>
      </c>
      <c r="N171" s="2">
        <v>14</v>
      </c>
      <c r="O171" s="2">
        <v>21</v>
      </c>
      <c r="P171" s="2">
        <v>4</v>
      </c>
      <c r="Q171" s="2">
        <v>9</v>
      </c>
      <c r="R171" s="2">
        <v>62</v>
      </c>
      <c r="S171" s="2">
        <v>13</v>
      </c>
      <c r="T171" s="2">
        <v>3</v>
      </c>
      <c r="U171" s="22">
        <v>2</v>
      </c>
      <c r="V171" s="22">
        <v>1</v>
      </c>
      <c r="W171" s="22">
        <v>0</v>
      </c>
    </row>
    <row r="172" spans="1:23">
      <c r="A172" s="2">
        <v>781</v>
      </c>
      <c r="B172" s="2" t="s">
        <v>166</v>
      </c>
      <c r="C172" s="22">
        <v>0</v>
      </c>
      <c r="D172" s="2">
        <v>0</v>
      </c>
      <c r="E172" s="2">
        <v>1</v>
      </c>
      <c r="F172" s="2">
        <v>0</v>
      </c>
      <c r="G172" s="2">
        <v>1</v>
      </c>
      <c r="H172" s="2">
        <v>0</v>
      </c>
      <c r="I172" s="2">
        <v>0</v>
      </c>
      <c r="J172" s="2">
        <v>0</v>
      </c>
      <c r="K172" s="2">
        <v>0</v>
      </c>
      <c r="L172" s="2">
        <v>1</v>
      </c>
      <c r="M172" s="2">
        <v>0</v>
      </c>
      <c r="N172" s="2">
        <v>1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2">
        <v>0</v>
      </c>
      <c r="V172" s="22">
        <v>0</v>
      </c>
      <c r="W172" s="22">
        <v>0</v>
      </c>
    </row>
    <row r="173" spans="1:23">
      <c r="A173" s="2">
        <v>790</v>
      </c>
      <c r="B173" s="2" t="s">
        <v>167</v>
      </c>
      <c r="C173" s="22">
        <v>0</v>
      </c>
      <c r="D173" s="2">
        <v>1</v>
      </c>
      <c r="E173" s="2">
        <v>5</v>
      </c>
      <c r="F173" s="2">
        <v>3</v>
      </c>
      <c r="G173" s="2">
        <v>4</v>
      </c>
      <c r="H173" s="2">
        <v>3</v>
      </c>
      <c r="I173" s="2">
        <v>6</v>
      </c>
      <c r="J173" s="2">
        <v>2</v>
      </c>
      <c r="K173" s="2">
        <v>3</v>
      </c>
      <c r="L173" s="2">
        <v>3</v>
      </c>
      <c r="M173" s="2">
        <v>7</v>
      </c>
      <c r="N173" s="2">
        <v>5</v>
      </c>
      <c r="O173" s="2">
        <v>10</v>
      </c>
      <c r="P173" s="2">
        <v>0</v>
      </c>
      <c r="Q173" s="2">
        <v>0</v>
      </c>
      <c r="R173" s="2">
        <v>12</v>
      </c>
      <c r="S173" s="2">
        <v>3</v>
      </c>
      <c r="T173" s="2">
        <v>0</v>
      </c>
      <c r="U173" s="22">
        <v>0</v>
      </c>
      <c r="V173" s="22">
        <v>0</v>
      </c>
      <c r="W173" s="22">
        <v>0</v>
      </c>
    </row>
    <row r="174" spans="1:23">
      <c r="A174" s="2">
        <v>800</v>
      </c>
      <c r="B174" s="2" t="s">
        <v>168</v>
      </c>
      <c r="C174" s="22">
        <v>20</v>
      </c>
      <c r="D174" s="2">
        <v>21</v>
      </c>
      <c r="E174" s="2">
        <v>14</v>
      </c>
      <c r="F174" s="2">
        <v>16</v>
      </c>
      <c r="G174" s="2">
        <v>30</v>
      </c>
      <c r="H174" s="2">
        <v>9</v>
      </c>
      <c r="I174" s="2">
        <v>15</v>
      </c>
      <c r="J174" s="2">
        <v>21</v>
      </c>
      <c r="K174" s="2">
        <v>21</v>
      </c>
      <c r="L174" s="2">
        <v>9</v>
      </c>
      <c r="M174" s="2">
        <v>9</v>
      </c>
      <c r="N174" s="2">
        <v>14</v>
      </c>
      <c r="O174" s="2">
        <v>18</v>
      </c>
      <c r="P174" s="2">
        <v>5</v>
      </c>
      <c r="Q174" s="2">
        <v>3</v>
      </c>
      <c r="R174" s="2">
        <v>65</v>
      </c>
      <c r="S174" s="2">
        <v>22</v>
      </c>
      <c r="T174" s="2">
        <v>2</v>
      </c>
      <c r="U174" s="22">
        <v>2</v>
      </c>
      <c r="V174" s="22">
        <v>0</v>
      </c>
      <c r="W174">
        <v>1</v>
      </c>
    </row>
    <row r="175" spans="1:23">
      <c r="A175" s="2">
        <v>811</v>
      </c>
      <c r="B175" s="2" t="s">
        <v>169</v>
      </c>
      <c r="C175" s="22">
        <v>11</v>
      </c>
      <c r="D175" s="2">
        <v>9</v>
      </c>
      <c r="E175" s="2">
        <v>22</v>
      </c>
      <c r="F175" s="2">
        <v>16</v>
      </c>
      <c r="G175" s="2">
        <v>14</v>
      </c>
      <c r="H175" s="2">
        <v>35</v>
      </c>
      <c r="I175" s="2">
        <v>19</v>
      </c>
      <c r="J175" s="2">
        <v>23</v>
      </c>
      <c r="K175" s="2">
        <v>6</v>
      </c>
      <c r="L175" s="2">
        <v>8</v>
      </c>
      <c r="M175" s="2">
        <v>8</v>
      </c>
      <c r="N175" s="2">
        <v>5</v>
      </c>
      <c r="O175" s="2">
        <v>3</v>
      </c>
      <c r="P175" s="2">
        <v>4</v>
      </c>
      <c r="Q175" s="2">
        <v>0</v>
      </c>
      <c r="R175" s="2">
        <v>3</v>
      </c>
      <c r="S175" s="2">
        <v>4</v>
      </c>
      <c r="T175" s="2">
        <v>2</v>
      </c>
      <c r="U175" s="22">
        <v>0</v>
      </c>
      <c r="V175" s="22">
        <v>0</v>
      </c>
      <c r="W175" s="22">
        <v>0</v>
      </c>
    </row>
    <row r="176" spans="1:23">
      <c r="A176" s="2">
        <v>812</v>
      </c>
      <c r="B176" s="2" t="s">
        <v>170</v>
      </c>
      <c r="C176" s="22">
        <v>3</v>
      </c>
      <c r="D176" s="2">
        <v>1</v>
      </c>
      <c r="E176" s="2">
        <v>1</v>
      </c>
      <c r="F176" s="2">
        <v>5</v>
      </c>
      <c r="G176" s="2">
        <v>4</v>
      </c>
      <c r="H176" s="2">
        <v>5</v>
      </c>
      <c r="I176" s="2">
        <v>2</v>
      </c>
      <c r="J176" s="2">
        <v>2</v>
      </c>
      <c r="K176" s="2">
        <v>0</v>
      </c>
      <c r="L176" s="2">
        <v>1</v>
      </c>
      <c r="M176" s="2">
        <v>4</v>
      </c>
      <c r="N176" s="2">
        <v>3</v>
      </c>
      <c r="O176" s="2">
        <v>1</v>
      </c>
      <c r="P176" s="2">
        <v>0</v>
      </c>
      <c r="Q176" s="2">
        <v>0</v>
      </c>
      <c r="R176" s="2">
        <v>1</v>
      </c>
      <c r="S176" s="2">
        <v>1</v>
      </c>
      <c r="T176" s="2">
        <v>0</v>
      </c>
      <c r="U176" s="22">
        <v>1</v>
      </c>
      <c r="V176" s="22">
        <v>0</v>
      </c>
      <c r="W176" s="22">
        <v>0</v>
      </c>
    </row>
    <row r="177" spans="1:23">
      <c r="A177" s="2">
        <v>816</v>
      </c>
      <c r="B177" s="2" t="s">
        <v>171</v>
      </c>
      <c r="C177" s="22">
        <v>22</v>
      </c>
      <c r="D177" s="2">
        <v>31</v>
      </c>
      <c r="E177" s="2">
        <v>48</v>
      </c>
      <c r="F177" s="2">
        <v>33</v>
      </c>
      <c r="G177" s="2">
        <v>38</v>
      </c>
      <c r="H177" s="2">
        <v>35</v>
      </c>
      <c r="I177" s="2">
        <v>26</v>
      </c>
      <c r="J177" s="2">
        <v>28</v>
      </c>
      <c r="K177" s="2">
        <v>10</v>
      </c>
      <c r="L177" s="2">
        <v>24</v>
      </c>
      <c r="M177" s="2">
        <v>25</v>
      </c>
      <c r="N177" s="2">
        <v>21</v>
      </c>
      <c r="O177" s="2">
        <v>15</v>
      </c>
      <c r="P177" s="2">
        <v>0</v>
      </c>
      <c r="Q177" s="2">
        <v>3</v>
      </c>
      <c r="R177" s="2">
        <v>10</v>
      </c>
      <c r="S177" s="2">
        <v>28</v>
      </c>
      <c r="T177" s="2">
        <v>7</v>
      </c>
      <c r="U177" s="22">
        <v>2</v>
      </c>
      <c r="V177" s="22">
        <v>2</v>
      </c>
      <c r="W177" s="22">
        <v>1</v>
      </c>
    </row>
    <row r="178" spans="1:23">
      <c r="A178" s="2">
        <v>820</v>
      </c>
      <c r="B178" s="2" t="s">
        <v>172</v>
      </c>
      <c r="C178" s="22">
        <v>4</v>
      </c>
      <c r="D178" s="2">
        <v>14</v>
      </c>
      <c r="E178" s="2">
        <v>12</v>
      </c>
      <c r="F178" s="2">
        <v>17</v>
      </c>
      <c r="G178" s="2">
        <v>39</v>
      </c>
      <c r="H178" s="2">
        <v>30</v>
      </c>
      <c r="I178" s="2">
        <v>28</v>
      </c>
      <c r="J178" s="2">
        <v>16</v>
      </c>
      <c r="K178" s="2">
        <v>34</v>
      </c>
      <c r="L178" s="2">
        <v>15</v>
      </c>
      <c r="M178" s="2">
        <v>14</v>
      </c>
      <c r="N178" s="2">
        <v>18</v>
      </c>
      <c r="O178" s="2">
        <v>17</v>
      </c>
      <c r="P178" s="2">
        <v>6</v>
      </c>
      <c r="Q178" s="2">
        <v>0</v>
      </c>
      <c r="R178" s="2">
        <v>10</v>
      </c>
      <c r="S178" s="2">
        <v>22</v>
      </c>
      <c r="T178" s="2">
        <v>3</v>
      </c>
      <c r="U178" s="22">
        <v>1</v>
      </c>
      <c r="V178" s="22">
        <v>1</v>
      </c>
      <c r="W178" s="22">
        <v>1</v>
      </c>
    </row>
    <row r="179" spans="1:23">
      <c r="A179" s="2">
        <v>830</v>
      </c>
      <c r="B179" s="2" t="s">
        <v>173</v>
      </c>
      <c r="C179" s="22">
        <v>10</v>
      </c>
      <c r="D179" s="2">
        <v>14</v>
      </c>
      <c r="E179" s="2">
        <v>14</v>
      </c>
      <c r="F179" s="2">
        <v>10</v>
      </c>
      <c r="G179" s="2">
        <v>11</v>
      </c>
      <c r="H179" s="2">
        <v>24</v>
      </c>
      <c r="I179" s="2">
        <v>22</v>
      </c>
      <c r="J179" s="2">
        <v>21</v>
      </c>
      <c r="K179" s="2">
        <v>18</v>
      </c>
      <c r="L179" s="2">
        <v>8</v>
      </c>
      <c r="M179" s="2">
        <v>10</v>
      </c>
      <c r="N179" s="2">
        <v>10</v>
      </c>
      <c r="O179" s="2">
        <v>8</v>
      </c>
      <c r="P179" s="2">
        <v>3</v>
      </c>
      <c r="Q179" s="2">
        <v>4</v>
      </c>
      <c r="R179" s="2">
        <v>5</v>
      </c>
      <c r="S179" s="2">
        <v>10</v>
      </c>
      <c r="T179" s="2">
        <v>7</v>
      </c>
      <c r="U179" s="22">
        <v>2</v>
      </c>
      <c r="V179" s="22">
        <v>6</v>
      </c>
      <c r="W179" s="22">
        <v>0</v>
      </c>
    </row>
    <row r="180" spans="1:23">
      <c r="A180" s="2">
        <v>835</v>
      </c>
      <c r="B180" s="2" t="s">
        <v>174</v>
      </c>
      <c r="C180" s="22">
        <v>1</v>
      </c>
      <c r="D180" s="2">
        <v>2</v>
      </c>
      <c r="E180" s="2">
        <v>1</v>
      </c>
      <c r="F180" s="2">
        <v>4</v>
      </c>
      <c r="G180" s="2">
        <v>6</v>
      </c>
      <c r="H180" s="2">
        <v>4</v>
      </c>
      <c r="I180" s="2">
        <v>6</v>
      </c>
      <c r="J180" s="2">
        <v>5</v>
      </c>
      <c r="K180" s="2">
        <v>3</v>
      </c>
      <c r="L180" s="2">
        <v>3</v>
      </c>
      <c r="M180" s="2">
        <v>7</v>
      </c>
      <c r="N180" s="2">
        <v>3</v>
      </c>
      <c r="O180" s="2">
        <v>1</v>
      </c>
      <c r="P180" s="2">
        <v>0</v>
      </c>
      <c r="Q180" s="2">
        <v>0</v>
      </c>
      <c r="R180" s="2">
        <v>0</v>
      </c>
      <c r="S180" s="2">
        <v>1</v>
      </c>
      <c r="T180" s="2">
        <v>0</v>
      </c>
      <c r="U180" s="22">
        <v>0</v>
      </c>
      <c r="V180" s="22">
        <v>0</v>
      </c>
      <c r="W180" s="22">
        <v>0</v>
      </c>
    </row>
    <row r="181" spans="1:23">
      <c r="A181" s="2">
        <v>840</v>
      </c>
      <c r="B181" s="2" t="s">
        <v>175</v>
      </c>
      <c r="C181" s="22">
        <v>9</v>
      </c>
      <c r="D181" s="2">
        <v>14</v>
      </c>
      <c r="E181" s="2">
        <v>9</v>
      </c>
      <c r="F181" s="2">
        <v>10</v>
      </c>
      <c r="G181" s="2">
        <v>32</v>
      </c>
      <c r="H181" s="2">
        <v>22</v>
      </c>
      <c r="I181" s="2">
        <v>32</v>
      </c>
      <c r="J181" s="2">
        <v>15</v>
      </c>
      <c r="K181" s="2">
        <v>15</v>
      </c>
      <c r="L181" s="2">
        <v>13</v>
      </c>
      <c r="M181" s="2">
        <v>12</v>
      </c>
      <c r="N181" s="2">
        <v>8</v>
      </c>
      <c r="O181" s="2">
        <v>11</v>
      </c>
      <c r="P181" s="2">
        <v>3</v>
      </c>
      <c r="Q181" s="2">
        <v>3</v>
      </c>
      <c r="R181" s="2">
        <v>18</v>
      </c>
      <c r="S181" s="2">
        <v>4</v>
      </c>
      <c r="T181" s="2">
        <v>8</v>
      </c>
      <c r="U181" s="22">
        <v>1</v>
      </c>
      <c r="V181" s="22">
        <v>0</v>
      </c>
      <c r="W181" s="22">
        <v>0</v>
      </c>
    </row>
    <row r="182" spans="1:23">
      <c r="A182" s="2">
        <v>850</v>
      </c>
      <c r="B182" s="2" t="s">
        <v>176</v>
      </c>
      <c r="C182" s="22">
        <v>15</v>
      </c>
      <c r="D182" s="2">
        <v>12</v>
      </c>
      <c r="E182" s="2">
        <v>10</v>
      </c>
      <c r="F182" s="2">
        <v>25</v>
      </c>
      <c r="G182" s="2">
        <v>55</v>
      </c>
      <c r="H182" s="2">
        <v>28</v>
      </c>
      <c r="I182" s="2">
        <v>35</v>
      </c>
      <c r="J182" s="2">
        <v>30</v>
      </c>
      <c r="K182" s="2">
        <v>50</v>
      </c>
      <c r="L182" s="2">
        <v>30</v>
      </c>
      <c r="M182" s="2">
        <v>22</v>
      </c>
      <c r="N182" s="2">
        <v>18</v>
      </c>
      <c r="O182" s="2">
        <v>21</v>
      </c>
      <c r="P182" s="2">
        <v>2</v>
      </c>
      <c r="Q182" s="2">
        <v>5</v>
      </c>
      <c r="R182" s="2">
        <v>82</v>
      </c>
      <c r="S182" s="2">
        <v>38</v>
      </c>
      <c r="T182" s="2">
        <v>15</v>
      </c>
      <c r="U182" s="22">
        <v>5</v>
      </c>
      <c r="V182" s="22">
        <v>2</v>
      </c>
      <c r="W182" s="22">
        <v>13</v>
      </c>
    </row>
    <row r="183" spans="1:23">
      <c r="A183" s="2">
        <v>900</v>
      </c>
      <c r="B183" s="2" t="s">
        <v>177</v>
      </c>
      <c r="C183" s="22">
        <v>5</v>
      </c>
      <c r="D183" s="2">
        <v>12</v>
      </c>
      <c r="E183" s="2">
        <v>15</v>
      </c>
      <c r="F183" s="2">
        <v>13</v>
      </c>
      <c r="G183" s="2">
        <v>21</v>
      </c>
      <c r="H183" s="2">
        <v>19</v>
      </c>
      <c r="I183" s="2">
        <v>24</v>
      </c>
      <c r="J183" s="2">
        <v>26</v>
      </c>
      <c r="K183" s="2">
        <v>17</v>
      </c>
      <c r="L183" s="2">
        <v>30</v>
      </c>
      <c r="M183" s="2">
        <v>16</v>
      </c>
      <c r="N183" s="2">
        <v>17</v>
      </c>
      <c r="O183" s="2">
        <v>15</v>
      </c>
      <c r="P183" s="2">
        <v>22</v>
      </c>
      <c r="Q183" s="2">
        <v>14</v>
      </c>
      <c r="R183" s="2">
        <v>36</v>
      </c>
      <c r="S183" s="2">
        <v>26</v>
      </c>
      <c r="T183" s="2">
        <v>25</v>
      </c>
      <c r="U183" s="22">
        <v>3</v>
      </c>
      <c r="V183" s="22">
        <v>0</v>
      </c>
      <c r="W183">
        <v>5</v>
      </c>
    </row>
    <row r="184" spans="1:23">
      <c r="A184" s="2">
        <v>910</v>
      </c>
      <c r="B184" s="2" t="s">
        <v>178</v>
      </c>
      <c r="C184" s="22">
        <v>0</v>
      </c>
      <c r="D184" s="2">
        <v>1</v>
      </c>
      <c r="E184" s="2">
        <v>1</v>
      </c>
      <c r="F184" s="2">
        <v>0</v>
      </c>
      <c r="G184" s="2">
        <v>0</v>
      </c>
      <c r="H184" s="2">
        <v>0</v>
      </c>
      <c r="I184" s="2">
        <v>0</v>
      </c>
      <c r="J184" s="2">
        <v>2</v>
      </c>
      <c r="K184" s="2">
        <v>3</v>
      </c>
      <c r="L184" s="2">
        <v>3</v>
      </c>
      <c r="M184" s="2">
        <v>1</v>
      </c>
      <c r="N184" s="2">
        <v>1</v>
      </c>
      <c r="O184" s="2">
        <v>0</v>
      </c>
      <c r="P184" s="2">
        <v>0</v>
      </c>
      <c r="Q184" s="2">
        <v>0</v>
      </c>
      <c r="R184" s="2">
        <v>0</v>
      </c>
      <c r="S184" s="2">
        <v>2</v>
      </c>
      <c r="T184" s="2">
        <v>0</v>
      </c>
      <c r="U184" s="22">
        <v>0</v>
      </c>
      <c r="V184" s="22">
        <v>0</v>
      </c>
      <c r="W184" s="22">
        <v>0</v>
      </c>
    </row>
    <row r="185" spans="1:23">
      <c r="A185" s="2">
        <v>920</v>
      </c>
      <c r="B185" s="2" t="s">
        <v>179</v>
      </c>
      <c r="C185" s="22">
        <v>5</v>
      </c>
      <c r="D185" s="2">
        <v>4</v>
      </c>
      <c r="E185" s="2">
        <v>5</v>
      </c>
      <c r="F185" s="2">
        <v>11</v>
      </c>
      <c r="G185" s="2">
        <v>14</v>
      </c>
      <c r="H185" s="2">
        <v>8</v>
      </c>
      <c r="I185" s="2">
        <v>1</v>
      </c>
      <c r="J185" s="2">
        <v>5</v>
      </c>
      <c r="K185" s="2">
        <v>8</v>
      </c>
      <c r="L185" s="2">
        <v>12</v>
      </c>
      <c r="M185" s="2">
        <v>9</v>
      </c>
      <c r="N185" s="2">
        <v>4</v>
      </c>
      <c r="O185" s="2">
        <v>7</v>
      </c>
      <c r="P185" s="2">
        <v>7</v>
      </c>
      <c r="Q185" s="2">
        <v>2</v>
      </c>
      <c r="R185" s="2">
        <v>9</v>
      </c>
      <c r="S185" s="2">
        <v>7</v>
      </c>
      <c r="T185" s="2">
        <v>0</v>
      </c>
      <c r="U185" s="22">
        <v>1</v>
      </c>
      <c r="V185" s="22">
        <v>1</v>
      </c>
      <c r="W185" s="22">
        <v>0</v>
      </c>
    </row>
    <row r="186" spans="1:23">
      <c r="A186" s="2">
        <v>935</v>
      </c>
      <c r="B186" s="2" t="s">
        <v>180</v>
      </c>
      <c r="C186" s="2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1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2">
        <v>0</v>
      </c>
      <c r="V186" s="22">
        <v>0</v>
      </c>
      <c r="W186" s="22">
        <v>0</v>
      </c>
    </row>
    <row r="187" spans="1:23">
      <c r="A187" s="2">
        <v>940</v>
      </c>
      <c r="B187" s="2" t="s">
        <v>181</v>
      </c>
      <c r="C187" s="2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1</v>
      </c>
      <c r="M187" s="2">
        <v>7</v>
      </c>
      <c r="N187" s="2">
        <v>0</v>
      </c>
      <c r="O187" s="2">
        <v>2</v>
      </c>
      <c r="P187" s="2">
        <v>2</v>
      </c>
      <c r="Q187" s="2">
        <v>0</v>
      </c>
      <c r="R187" s="2">
        <v>0</v>
      </c>
      <c r="S187" s="2">
        <v>3</v>
      </c>
      <c r="T187" s="2">
        <v>0</v>
      </c>
      <c r="U187" s="22">
        <v>0</v>
      </c>
      <c r="V187" s="22">
        <v>0</v>
      </c>
      <c r="W187" s="22">
        <v>0</v>
      </c>
    </row>
    <row r="188" spans="1:23">
      <c r="A188" s="2">
        <v>946</v>
      </c>
      <c r="B188" s="2" t="s">
        <v>182</v>
      </c>
      <c r="C188" s="2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2">
        <v>0</v>
      </c>
      <c r="V188" s="22">
        <v>0</v>
      </c>
      <c r="W188" s="22">
        <v>0</v>
      </c>
    </row>
    <row r="189" spans="1:23">
      <c r="A189" s="2">
        <v>947</v>
      </c>
      <c r="B189" s="2" t="s">
        <v>183</v>
      </c>
      <c r="C189" s="2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2">
        <v>0</v>
      </c>
      <c r="V189" s="22">
        <v>0</v>
      </c>
      <c r="W189" s="22">
        <v>0</v>
      </c>
    </row>
    <row r="190" spans="1:23">
      <c r="A190" s="2">
        <v>950</v>
      </c>
      <c r="B190" s="2" t="s">
        <v>184</v>
      </c>
      <c r="C190" s="22">
        <v>0</v>
      </c>
      <c r="D190" s="2">
        <v>0</v>
      </c>
      <c r="E190" s="2">
        <v>1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3</v>
      </c>
      <c r="N190" s="2">
        <v>0</v>
      </c>
      <c r="O190" s="2">
        <v>0</v>
      </c>
      <c r="P190" s="2">
        <v>1</v>
      </c>
      <c r="Q190" s="2">
        <v>0</v>
      </c>
      <c r="R190" s="2">
        <v>4</v>
      </c>
      <c r="S190" s="2">
        <v>7</v>
      </c>
      <c r="T190" s="2">
        <v>2</v>
      </c>
      <c r="U190" s="22">
        <v>0</v>
      </c>
      <c r="V190" s="22">
        <v>0</v>
      </c>
      <c r="W190" s="22">
        <v>0</v>
      </c>
    </row>
    <row r="191" spans="1:23">
      <c r="A191" s="2">
        <v>955</v>
      </c>
      <c r="B191" s="2" t="s">
        <v>185</v>
      </c>
      <c r="C191" s="2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1</v>
      </c>
      <c r="P191" s="2">
        <v>0</v>
      </c>
      <c r="Q191" s="2">
        <v>0</v>
      </c>
      <c r="R191" s="2">
        <v>0</v>
      </c>
      <c r="S191" s="2">
        <v>0</v>
      </c>
      <c r="T191" s="2">
        <v>1</v>
      </c>
      <c r="U191" s="22">
        <v>0</v>
      </c>
      <c r="V191" s="22">
        <v>0</v>
      </c>
      <c r="W191" s="22">
        <v>0</v>
      </c>
    </row>
    <row r="192" spans="1:23">
      <c r="A192" s="2">
        <v>970</v>
      </c>
      <c r="B192" s="2" t="s">
        <v>186</v>
      </c>
      <c r="C192" s="2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1</v>
      </c>
      <c r="O192" s="2">
        <v>0</v>
      </c>
      <c r="P192" s="2">
        <v>0</v>
      </c>
      <c r="Q192" s="2">
        <v>0</v>
      </c>
      <c r="R192" s="2">
        <v>1</v>
      </c>
      <c r="S192" s="2">
        <v>0</v>
      </c>
      <c r="T192" s="2">
        <v>1</v>
      </c>
      <c r="U192" s="22">
        <v>0</v>
      </c>
      <c r="V192" s="22">
        <v>0</v>
      </c>
      <c r="W192" s="22">
        <v>0</v>
      </c>
    </row>
    <row r="193" spans="1:23">
      <c r="A193" s="2">
        <v>983</v>
      </c>
      <c r="B193" s="2" t="s">
        <v>187</v>
      </c>
      <c r="C193" s="2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2">
        <v>0</v>
      </c>
      <c r="V193" s="22">
        <v>0</v>
      </c>
      <c r="W193" s="22">
        <v>0</v>
      </c>
    </row>
    <row r="194" spans="1:23">
      <c r="A194" s="2">
        <v>986</v>
      </c>
      <c r="B194" s="2" t="s">
        <v>188</v>
      </c>
      <c r="C194" s="22">
        <v>0</v>
      </c>
      <c r="D194" s="2">
        <v>0</v>
      </c>
      <c r="E194" s="2">
        <v>0</v>
      </c>
      <c r="F194" s="2">
        <v>1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1</v>
      </c>
      <c r="S194" s="2">
        <v>3</v>
      </c>
      <c r="T194" s="2">
        <v>0</v>
      </c>
      <c r="U194" s="22">
        <v>9</v>
      </c>
      <c r="V194" s="22">
        <v>2</v>
      </c>
      <c r="W194" s="22">
        <v>0</v>
      </c>
    </row>
    <row r="195" spans="1:23">
      <c r="A195" s="2">
        <v>987</v>
      </c>
      <c r="B195" s="2" t="s">
        <v>189</v>
      </c>
      <c r="C195" s="2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2">
        <v>0</v>
      </c>
      <c r="V195" s="22">
        <v>0</v>
      </c>
      <c r="W195" s="22">
        <v>0</v>
      </c>
    </row>
    <row r="196" spans="1:23">
      <c r="A196" s="2">
        <v>990</v>
      </c>
      <c r="B196" s="2" t="s">
        <v>190</v>
      </c>
      <c r="C196" s="2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1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2">
        <v>0</v>
      </c>
      <c r="V196" s="22">
        <v>0</v>
      </c>
      <c r="W196" s="22">
        <v>0</v>
      </c>
    </row>
    <row r="197" spans="1:23">
      <c r="U197" s="534"/>
    </row>
    <row r="198" spans="1:23">
      <c r="C198" s="534"/>
      <c r="D198" s="534"/>
      <c r="E198" s="534"/>
      <c r="F198" s="534"/>
      <c r="G198" s="534"/>
      <c r="H198" s="534"/>
      <c r="I198" s="534"/>
      <c r="J198" s="534"/>
      <c r="K198" s="534"/>
      <c r="L198" s="534"/>
      <c r="M198" s="534"/>
      <c r="N198" s="534"/>
      <c r="O198" s="534"/>
      <c r="P198" s="534"/>
      <c r="Q198" s="534"/>
      <c r="R198" s="534"/>
      <c r="S198" s="534"/>
      <c r="T198" s="534"/>
      <c r="U198" s="534"/>
      <c r="V198" s="534"/>
    </row>
    <row r="199" spans="1:23">
      <c r="C199" s="534"/>
      <c r="D199" s="534"/>
      <c r="E199" s="534"/>
      <c r="F199" s="534"/>
      <c r="G199" s="534"/>
      <c r="H199" s="534"/>
      <c r="I199" s="534"/>
      <c r="J199" s="534"/>
      <c r="K199" s="534"/>
      <c r="L199" s="534"/>
      <c r="M199" s="534"/>
      <c r="N199" s="534"/>
      <c r="O199" s="534"/>
      <c r="P199" s="534"/>
      <c r="Q199" s="534"/>
      <c r="R199" s="534"/>
      <c r="S199" s="534"/>
      <c r="T199" s="534"/>
      <c r="U199" s="534"/>
      <c r="V199" s="534"/>
    </row>
    <row r="200" spans="1:23">
      <c r="C200" s="534"/>
      <c r="D200" s="534"/>
      <c r="E200" s="534"/>
      <c r="F200" s="534"/>
      <c r="G200" s="534"/>
      <c r="H200" s="534"/>
      <c r="I200" s="534"/>
      <c r="J200" s="534"/>
      <c r="K200" s="534"/>
      <c r="L200" s="534"/>
      <c r="M200" s="534"/>
      <c r="N200" s="534"/>
      <c r="O200" s="534"/>
      <c r="P200" s="534"/>
      <c r="Q200" s="534"/>
      <c r="R200" s="534"/>
      <c r="S200" s="534"/>
      <c r="T200" s="534"/>
      <c r="U200" s="534"/>
      <c r="V200" s="53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workbookViewId="0">
      <selection activeCell="M4" sqref="M4"/>
    </sheetView>
  </sheetViews>
  <sheetFormatPr defaultRowHeight="15"/>
  <cols>
    <col min="3" max="6" width="9.140625" style="171"/>
  </cols>
  <sheetData>
    <row r="1" spans="1:12" s="9" customFormat="1">
      <c r="A1" s="12" t="s">
        <v>395</v>
      </c>
      <c r="C1" s="171"/>
      <c r="D1" s="171"/>
      <c r="E1" s="171"/>
      <c r="F1" s="171"/>
    </row>
    <row r="2" spans="1:12" s="9" customFormat="1">
      <c r="A2" s="1" t="s">
        <v>396</v>
      </c>
      <c r="C2" s="171"/>
      <c r="D2" s="171"/>
      <c r="E2" s="171"/>
      <c r="F2" s="171"/>
    </row>
    <row r="3" spans="1:12" s="9" customFormat="1">
      <c r="A3" s="9" t="s">
        <v>397</v>
      </c>
      <c r="C3" s="171"/>
      <c r="D3" s="171"/>
      <c r="E3" s="171"/>
      <c r="F3" s="171"/>
    </row>
    <row r="4" spans="1:12" s="9" customFormat="1">
      <c r="C4" s="171"/>
      <c r="D4" s="171"/>
      <c r="E4" s="171"/>
      <c r="F4" s="171"/>
    </row>
    <row r="5" spans="1:12">
      <c r="A5" s="3" t="s">
        <v>191</v>
      </c>
      <c r="B5" s="3" t="s">
        <v>192</v>
      </c>
      <c r="C5" s="22">
        <v>1980</v>
      </c>
      <c r="D5" s="22">
        <v>1985</v>
      </c>
      <c r="E5" s="22">
        <v>1989</v>
      </c>
      <c r="F5" s="22">
        <v>1990</v>
      </c>
      <c r="G5" s="3">
        <v>1993</v>
      </c>
      <c r="H5" s="3">
        <v>1995</v>
      </c>
      <c r="I5" s="3">
        <v>1997</v>
      </c>
      <c r="J5" s="3">
        <v>2000</v>
      </c>
      <c r="K5" s="3">
        <v>2005</v>
      </c>
      <c r="L5" s="22">
        <v>2008</v>
      </c>
    </row>
    <row r="6" spans="1:12">
      <c r="A6" s="3">
        <v>2</v>
      </c>
      <c r="B6" s="3" t="s">
        <v>0</v>
      </c>
      <c r="C6" s="22">
        <v>112</v>
      </c>
      <c r="D6" s="22">
        <v>128</v>
      </c>
      <c r="E6" s="22">
        <v>127</v>
      </c>
      <c r="F6" s="22">
        <v>127</v>
      </c>
      <c r="G6" s="3">
        <v>144</v>
      </c>
      <c r="H6" s="3">
        <v>152</v>
      </c>
      <c r="I6" s="3">
        <v>155</v>
      </c>
      <c r="J6" s="3">
        <v>160</v>
      </c>
      <c r="K6" s="3">
        <v>167</v>
      </c>
      <c r="L6" s="535">
        <v>162</v>
      </c>
    </row>
    <row r="7" spans="1:12">
      <c r="A7" s="3">
        <v>20</v>
      </c>
      <c r="B7" s="3" t="s">
        <v>1</v>
      </c>
      <c r="C7" s="22">
        <v>89</v>
      </c>
      <c r="D7" s="22">
        <v>94</v>
      </c>
      <c r="E7" s="22">
        <v>88</v>
      </c>
      <c r="F7" s="22">
        <v>89</v>
      </c>
      <c r="G7" s="3">
        <v>98</v>
      </c>
      <c r="H7" s="3">
        <v>97</v>
      </c>
      <c r="I7" s="3">
        <v>107</v>
      </c>
      <c r="J7" s="3">
        <v>105</v>
      </c>
      <c r="K7" s="3">
        <v>125</v>
      </c>
      <c r="L7" s="535">
        <v>112</v>
      </c>
    </row>
    <row r="8" spans="1:12">
      <c r="A8" s="3">
        <v>31</v>
      </c>
      <c r="B8" s="3" t="s">
        <v>2</v>
      </c>
      <c r="C8" s="22">
        <v>3</v>
      </c>
      <c r="D8" s="22">
        <v>2</v>
      </c>
      <c r="E8" s="22">
        <v>2</v>
      </c>
      <c r="F8" s="22">
        <v>2</v>
      </c>
      <c r="G8" s="3">
        <v>2</v>
      </c>
      <c r="H8" s="3">
        <v>2</v>
      </c>
      <c r="I8" s="3">
        <v>2</v>
      </c>
      <c r="J8" s="3">
        <v>2</v>
      </c>
      <c r="K8" s="3">
        <v>3</v>
      </c>
      <c r="L8" s="535">
        <v>3</v>
      </c>
    </row>
    <row r="9" spans="1:12">
      <c r="A9" s="3">
        <v>40</v>
      </c>
      <c r="B9" s="3" t="s">
        <v>3</v>
      </c>
      <c r="C9" s="22">
        <v>47</v>
      </c>
      <c r="D9" s="22">
        <v>57</v>
      </c>
      <c r="E9" s="22">
        <v>62</v>
      </c>
      <c r="F9" s="22">
        <v>60</v>
      </c>
      <c r="G9" s="3">
        <v>60</v>
      </c>
      <c r="H9" s="3">
        <v>59</v>
      </c>
      <c r="I9" s="3">
        <v>58</v>
      </c>
      <c r="J9" s="3">
        <v>57</v>
      </c>
      <c r="K9" s="3">
        <v>74</v>
      </c>
      <c r="L9" s="535">
        <v>81</v>
      </c>
    </row>
    <row r="10" spans="1:12">
      <c r="A10" s="3">
        <v>41</v>
      </c>
      <c r="B10" s="3" t="s">
        <v>4</v>
      </c>
      <c r="C10" s="22">
        <v>18</v>
      </c>
      <c r="D10" s="22">
        <v>17</v>
      </c>
      <c r="E10" s="22">
        <v>18</v>
      </c>
      <c r="F10" s="22">
        <v>18</v>
      </c>
      <c r="G10" s="3">
        <v>13</v>
      </c>
      <c r="H10" s="3">
        <v>11</v>
      </c>
      <c r="I10" s="3">
        <v>14</v>
      </c>
      <c r="J10" s="3">
        <v>14</v>
      </c>
      <c r="K10" s="3">
        <v>15</v>
      </c>
      <c r="L10" s="535">
        <v>15</v>
      </c>
    </row>
    <row r="11" spans="1:12">
      <c r="A11" s="3">
        <v>42</v>
      </c>
      <c r="B11" s="3" t="s">
        <v>5</v>
      </c>
      <c r="C11" s="22">
        <v>22</v>
      </c>
      <c r="D11" s="22">
        <v>21</v>
      </c>
      <c r="E11" s="22">
        <v>19</v>
      </c>
      <c r="F11" s="22">
        <v>23</v>
      </c>
      <c r="G11" s="3">
        <v>24</v>
      </c>
      <c r="H11" s="3">
        <v>24</v>
      </c>
      <c r="I11" s="3">
        <v>24</v>
      </c>
      <c r="J11" s="3">
        <v>24</v>
      </c>
      <c r="K11" s="3">
        <v>28</v>
      </c>
      <c r="L11" s="535">
        <v>29</v>
      </c>
    </row>
    <row r="12" spans="1:12">
      <c r="A12" s="3">
        <v>51</v>
      </c>
      <c r="B12" s="3" t="s">
        <v>6</v>
      </c>
      <c r="C12" s="22">
        <v>22</v>
      </c>
      <c r="D12" s="22">
        <v>26</v>
      </c>
      <c r="E12" s="22">
        <v>22</v>
      </c>
      <c r="F12" s="22">
        <v>22</v>
      </c>
      <c r="G12" s="3">
        <v>28</v>
      </c>
      <c r="H12" s="3">
        <v>24</v>
      </c>
      <c r="I12" s="3">
        <v>21</v>
      </c>
      <c r="J12" s="3">
        <v>21</v>
      </c>
      <c r="K12" s="3">
        <v>27</v>
      </c>
      <c r="L12" s="535">
        <v>27</v>
      </c>
    </row>
    <row r="13" spans="1:12">
      <c r="A13" s="3">
        <v>52</v>
      </c>
      <c r="B13" s="3" t="s">
        <v>7</v>
      </c>
      <c r="C13" s="22">
        <v>14</v>
      </c>
      <c r="D13" s="22">
        <v>14</v>
      </c>
      <c r="E13" s="22">
        <v>17</v>
      </c>
      <c r="F13" s="22">
        <v>17</v>
      </c>
      <c r="G13" s="3">
        <v>17</v>
      </c>
      <c r="H13" s="3">
        <v>16</v>
      </c>
      <c r="I13" s="3">
        <v>15</v>
      </c>
      <c r="J13" s="3">
        <v>18</v>
      </c>
      <c r="K13" s="3">
        <v>18</v>
      </c>
      <c r="L13" s="535">
        <v>19</v>
      </c>
    </row>
    <row r="14" spans="1:12">
      <c r="A14" s="3">
        <v>53</v>
      </c>
      <c r="B14" s="3" t="s">
        <v>8</v>
      </c>
      <c r="C14" s="22">
        <v>4</v>
      </c>
      <c r="D14" s="22">
        <v>6</v>
      </c>
      <c r="E14" s="22">
        <v>8</v>
      </c>
      <c r="F14" s="22">
        <v>8</v>
      </c>
      <c r="G14" s="3">
        <v>9</v>
      </c>
      <c r="H14" s="3">
        <v>8</v>
      </c>
      <c r="I14" s="3">
        <v>8</v>
      </c>
      <c r="J14" s="3">
        <v>10</v>
      </c>
      <c r="K14" s="3">
        <v>7</v>
      </c>
      <c r="L14" s="535">
        <v>6</v>
      </c>
    </row>
    <row r="15" spans="1:12">
      <c r="A15" s="3">
        <v>54</v>
      </c>
      <c r="B15" s="3" t="s">
        <v>9</v>
      </c>
      <c r="C15" s="22">
        <v>0</v>
      </c>
      <c r="D15" s="22">
        <v>0</v>
      </c>
      <c r="E15" s="22">
        <v>0</v>
      </c>
      <c r="F15" s="22">
        <v>1</v>
      </c>
      <c r="G15" s="3">
        <v>1</v>
      </c>
      <c r="H15" s="3">
        <v>1</v>
      </c>
      <c r="I15" s="3">
        <v>1</v>
      </c>
      <c r="J15" s="3">
        <v>1</v>
      </c>
      <c r="K15" s="3">
        <v>2</v>
      </c>
      <c r="L15" s="535">
        <v>3</v>
      </c>
    </row>
    <row r="16" spans="1:12">
      <c r="A16" s="3">
        <v>55</v>
      </c>
      <c r="B16" s="3" t="s">
        <v>10</v>
      </c>
      <c r="C16" s="22">
        <v>1</v>
      </c>
      <c r="D16" s="22">
        <v>2</v>
      </c>
      <c r="E16" s="22">
        <v>1</v>
      </c>
      <c r="F16" s="22">
        <v>3</v>
      </c>
      <c r="G16" s="3">
        <v>2</v>
      </c>
      <c r="H16" s="3">
        <v>2</v>
      </c>
      <c r="I16" s="3">
        <v>2</v>
      </c>
      <c r="J16" s="3">
        <v>2</v>
      </c>
      <c r="K16" s="3">
        <v>6</v>
      </c>
      <c r="L16" s="535">
        <v>3</v>
      </c>
    </row>
    <row r="17" spans="1:12">
      <c r="A17" s="3">
        <v>56</v>
      </c>
      <c r="B17" s="3" t="s">
        <v>11</v>
      </c>
      <c r="C17" s="22">
        <v>0</v>
      </c>
      <c r="D17" s="22">
        <v>2</v>
      </c>
      <c r="E17" s="22">
        <v>2</v>
      </c>
      <c r="F17" s="22">
        <v>2</v>
      </c>
      <c r="G17" s="3">
        <v>2</v>
      </c>
      <c r="H17" s="3">
        <v>2</v>
      </c>
      <c r="I17" s="3">
        <v>2</v>
      </c>
      <c r="J17" s="3">
        <v>3</v>
      </c>
      <c r="K17" s="3">
        <v>4</v>
      </c>
      <c r="L17" s="535">
        <v>7</v>
      </c>
    </row>
    <row r="18" spans="1:12">
      <c r="A18" s="3">
        <v>57</v>
      </c>
      <c r="B18" s="3" t="s">
        <v>12</v>
      </c>
      <c r="C18" s="22">
        <v>0</v>
      </c>
      <c r="D18" s="22">
        <v>0</v>
      </c>
      <c r="E18" s="22">
        <v>1</v>
      </c>
      <c r="F18" s="22">
        <v>1</v>
      </c>
      <c r="G18" s="3">
        <v>1</v>
      </c>
      <c r="H18" s="3">
        <v>1</v>
      </c>
      <c r="I18" s="3">
        <v>1</v>
      </c>
      <c r="J18" s="3">
        <v>1</v>
      </c>
      <c r="K18" s="3">
        <v>3</v>
      </c>
      <c r="L18" s="535">
        <v>3</v>
      </c>
    </row>
    <row r="19" spans="1:12">
      <c r="A19" s="3">
        <v>58</v>
      </c>
      <c r="B19" s="3" t="s">
        <v>13</v>
      </c>
      <c r="C19" s="534" t="s">
        <v>194</v>
      </c>
      <c r="D19" s="22">
        <v>0</v>
      </c>
      <c r="E19" s="22">
        <v>0</v>
      </c>
      <c r="F19" s="22">
        <v>2</v>
      </c>
      <c r="G19" s="3">
        <v>1</v>
      </c>
      <c r="H19" s="3">
        <v>1</v>
      </c>
      <c r="I19" s="3">
        <v>1</v>
      </c>
      <c r="J19" s="3">
        <v>1</v>
      </c>
      <c r="K19" s="3">
        <v>3</v>
      </c>
      <c r="L19" s="535">
        <v>3</v>
      </c>
    </row>
    <row r="20" spans="1:12">
      <c r="A20" s="3">
        <v>60</v>
      </c>
      <c r="B20" s="3" t="s">
        <v>14</v>
      </c>
      <c r="C20" s="534" t="s">
        <v>194</v>
      </c>
      <c r="D20" s="22">
        <v>0</v>
      </c>
      <c r="E20" s="22">
        <v>1</v>
      </c>
      <c r="F20" s="22">
        <v>1</v>
      </c>
      <c r="G20" s="3">
        <v>2</v>
      </c>
      <c r="H20" s="3">
        <v>1</v>
      </c>
      <c r="I20" s="3">
        <v>1</v>
      </c>
      <c r="J20" s="3">
        <v>1</v>
      </c>
      <c r="K20" s="3">
        <v>2</v>
      </c>
      <c r="L20" s="535">
        <v>2</v>
      </c>
    </row>
    <row r="21" spans="1:12">
      <c r="A21" s="3">
        <v>70</v>
      </c>
      <c r="B21" s="3" t="s">
        <v>15</v>
      </c>
      <c r="C21" s="22">
        <v>61</v>
      </c>
      <c r="D21" s="22">
        <v>61</v>
      </c>
      <c r="E21" s="22">
        <v>62</v>
      </c>
      <c r="F21" s="22">
        <v>62</v>
      </c>
      <c r="G21" s="3">
        <v>62</v>
      </c>
      <c r="H21" s="3">
        <v>63</v>
      </c>
      <c r="I21" s="3">
        <v>65</v>
      </c>
      <c r="J21" s="3">
        <v>57</v>
      </c>
      <c r="K21" s="3">
        <v>72</v>
      </c>
      <c r="L21" s="535">
        <v>68</v>
      </c>
    </row>
    <row r="22" spans="1:12">
      <c r="A22" s="3">
        <v>80</v>
      </c>
      <c r="B22" s="3" t="s">
        <v>16</v>
      </c>
      <c r="C22" s="534" t="s">
        <v>194</v>
      </c>
      <c r="D22" s="22">
        <v>4</v>
      </c>
      <c r="E22" s="22">
        <v>4</v>
      </c>
      <c r="F22" s="22">
        <v>4</v>
      </c>
      <c r="G22" s="3">
        <v>9</v>
      </c>
      <c r="H22" s="3">
        <v>10</v>
      </c>
      <c r="I22" s="3">
        <v>10</v>
      </c>
      <c r="J22" s="3">
        <v>10</v>
      </c>
      <c r="K22" s="3">
        <v>11</v>
      </c>
      <c r="L22" s="535">
        <v>11</v>
      </c>
    </row>
    <row r="23" spans="1:12">
      <c r="A23" s="3">
        <v>90</v>
      </c>
      <c r="B23" s="3" t="s">
        <v>17</v>
      </c>
      <c r="C23" s="22">
        <v>24</v>
      </c>
      <c r="D23" s="22">
        <v>24</v>
      </c>
      <c r="E23" s="22">
        <v>26</v>
      </c>
      <c r="F23" s="22">
        <v>27</v>
      </c>
      <c r="G23" s="3">
        <v>29</v>
      </c>
      <c r="H23" s="3">
        <v>29</v>
      </c>
      <c r="I23" s="3">
        <v>32</v>
      </c>
      <c r="J23" s="3">
        <v>32</v>
      </c>
      <c r="K23" s="3">
        <v>31</v>
      </c>
      <c r="L23" s="535">
        <v>34</v>
      </c>
    </row>
    <row r="24" spans="1:12">
      <c r="A24" s="3">
        <v>91</v>
      </c>
      <c r="B24" s="3" t="s">
        <v>18</v>
      </c>
      <c r="C24" s="22">
        <v>21</v>
      </c>
      <c r="D24" s="22">
        <v>22</v>
      </c>
      <c r="E24" s="22">
        <v>22</v>
      </c>
      <c r="F24" s="22">
        <v>23</v>
      </c>
      <c r="G24" s="3">
        <v>24</v>
      </c>
      <c r="H24" s="3">
        <v>21</v>
      </c>
      <c r="I24" s="3">
        <v>24</v>
      </c>
      <c r="J24" s="3">
        <v>24</v>
      </c>
      <c r="K24" s="3">
        <v>22</v>
      </c>
      <c r="L24" s="535">
        <v>21</v>
      </c>
    </row>
    <row r="25" spans="1:12">
      <c r="A25" s="3">
        <v>92</v>
      </c>
      <c r="B25" s="3" t="s">
        <v>19</v>
      </c>
      <c r="C25" s="22">
        <v>20</v>
      </c>
      <c r="D25" s="22">
        <v>20</v>
      </c>
      <c r="E25" s="22">
        <v>22</v>
      </c>
      <c r="F25" s="22">
        <v>21</v>
      </c>
      <c r="G25" s="3">
        <v>22</v>
      </c>
      <c r="H25" s="3">
        <v>23</v>
      </c>
      <c r="I25" s="3">
        <v>24</v>
      </c>
      <c r="J25" s="3">
        <v>24</v>
      </c>
      <c r="K25" s="3">
        <v>24</v>
      </c>
      <c r="L25" s="535">
        <v>25</v>
      </c>
    </row>
    <row r="26" spans="1:12">
      <c r="A26" s="3">
        <v>93</v>
      </c>
      <c r="B26" s="3" t="s">
        <v>20</v>
      </c>
      <c r="C26" s="22">
        <v>24</v>
      </c>
      <c r="D26" s="22">
        <v>30</v>
      </c>
      <c r="E26" s="22">
        <v>30</v>
      </c>
      <c r="F26" s="22">
        <v>31</v>
      </c>
      <c r="G26" s="3">
        <v>29</v>
      </c>
      <c r="H26" s="3">
        <v>29</v>
      </c>
      <c r="I26" s="3">
        <v>30</v>
      </c>
      <c r="J26" s="3">
        <v>31</v>
      </c>
      <c r="K26" s="3">
        <v>27</v>
      </c>
      <c r="L26" s="535">
        <v>27</v>
      </c>
    </row>
    <row r="27" spans="1:12">
      <c r="A27" s="3">
        <v>94</v>
      </c>
      <c r="B27" s="3" t="s">
        <v>21</v>
      </c>
      <c r="C27" s="22">
        <v>30</v>
      </c>
      <c r="D27" s="22">
        <v>27</v>
      </c>
      <c r="E27" s="22">
        <v>29</v>
      </c>
      <c r="F27" s="22">
        <v>30</v>
      </c>
      <c r="G27" s="3">
        <v>33</v>
      </c>
      <c r="H27" s="3">
        <v>33</v>
      </c>
      <c r="I27" s="3">
        <v>33</v>
      </c>
      <c r="J27" s="3">
        <v>33</v>
      </c>
      <c r="K27" s="3">
        <v>31</v>
      </c>
      <c r="L27" s="535">
        <v>30</v>
      </c>
    </row>
    <row r="28" spans="1:12">
      <c r="A28" s="3">
        <v>95</v>
      </c>
      <c r="B28" s="3" t="s">
        <v>22</v>
      </c>
      <c r="C28" s="22">
        <v>33</v>
      </c>
      <c r="D28" s="22">
        <v>30</v>
      </c>
      <c r="E28" s="22">
        <v>30</v>
      </c>
      <c r="F28" s="22">
        <v>29</v>
      </c>
      <c r="G28" s="3">
        <v>28</v>
      </c>
      <c r="H28" s="3">
        <v>28</v>
      </c>
      <c r="I28" s="3">
        <v>29</v>
      </c>
      <c r="J28" s="3">
        <v>30</v>
      </c>
      <c r="K28" s="3">
        <v>30</v>
      </c>
      <c r="L28" s="535">
        <v>34</v>
      </c>
    </row>
    <row r="29" spans="1:12">
      <c r="A29" s="3">
        <v>100</v>
      </c>
      <c r="B29" s="3" t="s">
        <v>23</v>
      </c>
      <c r="C29" s="22">
        <v>44</v>
      </c>
      <c r="D29" s="22">
        <v>41</v>
      </c>
      <c r="E29" s="22">
        <v>49</v>
      </c>
      <c r="F29" s="22">
        <v>45</v>
      </c>
      <c r="G29" s="3">
        <v>44</v>
      </c>
      <c r="H29" s="3">
        <v>44</v>
      </c>
      <c r="I29" s="3">
        <v>43</v>
      </c>
      <c r="J29" s="3">
        <v>42</v>
      </c>
      <c r="K29" s="3">
        <v>47</v>
      </c>
      <c r="L29" s="535">
        <v>39</v>
      </c>
    </row>
    <row r="30" spans="1:12">
      <c r="A30" s="3">
        <v>101</v>
      </c>
      <c r="B30" s="3" t="s">
        <v>24</v>
      </c>
      <c r="C30" s="22">
        <v>56</v>
      </c>
      <c r="D30" s="22">
        <v>57</v>
      </c>
      <c r="E30" s="22">
        <v>60</v>
      </c>
      <c r="F30" s="22">
        <v>62</v>
      </c>
      <c r="G30" s="3">
        <v>61</v>
      </c>
      <c r="H30" s="3">
        <v>60</v>
      </c>
      <c r="I30" s="3">
        <v>61</v>
      </c>
      <c r="J30" s="3">
        <v>61</v>
      </c>
      <c r="K30" s="3">
        <v>64</v>
      </c>
      <c r="L30" s="535">
        <v>58</v>
      </c>
    </row>
    <row r="31" spans="1:12">
      <c r="A31" s="3">
        <v>110</v>
      </c>
      <c r="B31" s="3" t="s">
        <v>25</v>
      </c>
      <c r="C31" s="22">
        <v>14</v>
      </c>
      <c r="D31" s="22">
        <v>13</v>
      </c>
      <c r="E31" s="22">
        <v>14</v>
      </c>
      <c r="F31" s="22">
        <v>15</v>
      </c>
      <c r="G31" s="3">
        <v>12</v>
      </c>
      <c r="H31" s="3">
        <v>11</v>
      </c>
      <c r="I31" s="3">
        <v>11</v>
      </c>
      <c r="J31" s="3">
        <v>12</v>
      </c>
      <c r="K31" s="3">
        <v>10</v>
      </c>
      <c r="L31" s="535">
        <v>10</v>
      </c>
    </row>
    <row r="32" spans="1:12">
      <c r="A32" s="3">
        <v>115</v>
      </c>
      <c r="B32" s="3" t="s">
        <v>26</v>
      </c>
      <c r="C32" s="22">
        <v>9</v>
      </c>
      <c r="D32" s="22">
        <v>7</v>
      </c>
      <c r="E32" s="22">
        <v>11</v>
      </c>
      <c r="F32" s="22">
        <v>10</v>
      </c>
      <c r="G32" s="3">
        <v>8</v>
      </c>
      <c r="H32" s="3">
        <v>8</v>
      </c>
      <c r="I32" s="3">
        <v>10</v>
      </c>
      <c r="J32" s="3">
        <v>10</v>
      </c>
      <c r="K32" s="3">
        <v>9</v>
      </c>
      <c r="L32" s="535">
        <v>11</v>
      </c>
    </row>
    <row r="33" spans="1:12">
      <c r="A33" s="3">
        <v>130</v>
      </c>
      <c r="B33" s="3" t="s">
        <v>27</v>
      </c>
      <c r="C33" s="22">
        <v>30</v>
      </c>
      <c r="D33" s="22">
        <v>34</v>
      </c>
      <c r="E33" s="22">
        <v>36</v>
      </c>
      <c r="F33" s="22">
        <v>36</v>
      </c>
      <c r="G33" s="3">
        <v>36</v>
      </c>
      <c r="H33" s="3">
        <v>35</v>
      </c>
      <c r="I33" s="3">
        <v>35</v>
      </c>
      <c r="J33" s="3">
        <v>36</v>
      </c>
      <c r="K33" s="3">
        <v>32</v>
      </c>
      <c r="L33" s="535">
        <v>31</v>
      </c>
    </row>
    <row r="34" spans="1:12">
      <c r="A34" s="3">
        <v>135</v>
      </c>
      <c r="B34" s="3" t="s">
        <v>28</v>
      </c>
      <c r="C34" s="22">
        <v>51</v>
      </c>
      <c r="D34" s="22">
        <v>46</v>
      </c>
      <c r="E34" s="22">
        <v>47</v>
      </c>
      <c r="F34" s="22">
        <v>43</v>
      </c>
      <c r="G34" s="3">
        <v>46</v>
      </c>
      <c r="H34" s="3">
        <v>46</v>
      </c>
      <c r="I34" s="3">
        <v>48</v>
      </c>
      <c r="J34" s="3">
        <v>49</v>
      </c>
      <c r="K34" s="3">
        <v>44</v>
      </c>
      <c r="L34" s="535">
        <v>50</v>
      </c>
    </row>
    <row r="35" spans="1:12">
      <c r="A35" s="3">
        <v>140</v>
      </c>
      <c r="B35" s="3" t="s">
        <v>29</v>
      </c>
      <c r="C35" s="22">
        <v>73</v>
      </c>
      <c r="D35" s="22">
        <v>73</v>
      </c>
      <c r="E35" s="22">
        <v>76</v>
      </c>
      <c r="F35" s="22">
        <v>77</v>
      </c>
      <c r="G35" s="3">
        <v>76</v>
      </c>
      <c r="H35" s="3">
        <v>74</v>
      </c>
      <c r="I35" s="3">
        <v>74</v>
      </c>
      <c r="J35" s="3">
        <v>82</v>
      </c>
      <c r="K35" s="3">
        <v>83</v>
      </c>
      <c r="L35" s="535">
        <v>95</v>
      </c>
    </row>
    <row r="36" spans="1:12">
      <c r="A36" s="3">
        <v>145</v>
      </c>
      <c r="B36" s="3" t="s">
        <v>30</v>
      </c>
      <c r="C36" s="22">
        <v>27</v>
      </c>
      <c r="D36" s="22">
        <v>32</v>
      </c>
      <c r="E36" s="22">
        <v>27</v>
      </c>
      <c r="F36" s="22">
        <v>28</v>
      </c>
      <c r="G36" s="3">
        <v>26</v>
      </c>
      <c r="H36" s="3">
        <v>27</v>
      </c>
      <c r="I36" s="3">
        <v>26</v>
      </c>
      <c r="J36" s="3">
        <v>26</v>
      </c>
      <c r="K36" s="3">
        <v>26</v>
      </c>
      <c r="L36" s="535">
        <v>23</v>
      </c>
    </row>
    <row r="37" spans="1:12">
      <c r="A37" s="3">
        <v>150</v>
      </c>
      <c r="B37" s="3" t="s">
        <v>31</v>
      </c>
      <c r="C37" s="22">
        <v>19</v>
      </c>
      <c r="D37" s="22">
        <v>23</v>
      </c>
      <c r="E37" s="22">
        <v>22</v>
      </c>
      <c r="F37" s="22">
        <v>23</v>
      </c>
      <c r="G37" s="3">
        <v>22</v>
      </c>
      <c r="H37" s="3">
        <v>21</v>
      </c>
      <c r="I37" s="3">
        <v>21</v>
      </c>
      <c r="J37" s="3">
        <v>22</v>
      </c>
      <c r="K37" s="3">
        <v>21</v>
      </c>
      <c r="L37" s="535">
        <v>23</v>
      </c>
    </row>
    <row r="38" spans="1:12">
      <c r="A38" s="3">
        <v>155</v>
      </c>
      <c r="B38" s="3" t="s">
        <v>32</v>
      </c>
      <c r="C38" s="22">
        <v>39</v>
      </c>
      <c r="D38" s="22">
        <v>36</v>
      </c>
      <c r="E38" s="22">
        <v>37</v>
      </c>
      <c r="F38" s="22">
        <v>39</v>
      </c>
      <c r="G38" s="3">
        <v>41</v>
      </c>
      <c r="H38" s="3">
        <v>41</v>
      </c>
      <c r="I38" s="3">
        <v>45</v>
      </c>
      <c r="J38" s="3">
        <v>50</v>
      </c>
      <c r="K38" s="3">
        <v>60</v>
      </c>
      <c r="L38" s="535">
        <v>57</v>
      </c>
    </row>
    <row r="39" spans="1:12">
      <c r="A39" s="3">
        <v>160</v>
      </c>
      <c r="B39" s="3" t="s">
        <v>33</v>
      </c>
      <c r="C39" s="22">
        <v>59</v>
      </c>
      <c r="D39" s="22">
        <v>65</v>
      </c>
      <c r="E39" s="22">
        <v>60</v>
      </c>
      <c r="F39" s="22">
        <v>67</v>
      </c>
      <c r="G39" s="3">
        <v>67</v>
      </c>
      <c r="H39" s="3">
        <v>65</v>
      </c>
      <c r="I39" s="3">
        <v>66</v>
      </c>
      <c r="J39" s="3">
        <v>68</v>
      </c>
      <c r="K39" s="3">
        <v>70</v>
      </c>
      <c r="L39" s="535">
        <v>71</v>
      </c>
    </row>
    <row r="40" spans="1:12">
      <c r="A40" s="3">
        <v>165</v>
      </c>
      <c r="B40" s="3" t="s">
        <v>34</v>
      </c>
      <c r="C40" s="22">
        <v>37</v>
      </c>
      <c r="D40" s="22">
        <v>36</v>
      </c>
      <c r="E40" s="22">
        <v>38</v>
      </c>
      <c r="F40" s="22">
        <v>40</v>
      </c>
      <c r="G40" s="3">
        <v>37</v>
      </c>
      <c r="H40" s="3">
        <v>37</v>
      </c>
      <c r="I40" s="3">
        <v>38</v>
      </c>
      <c r="J40" s="3">
        <v>32</v>
      </c>
      <c r="K40" s="3">
        <v>36</v>
      </c>
      <c r="L40" s="535">
        <v>35</v>
      </c>
    </row>
    <row r="41" spans="1:12">
      <c r="A41" s="3">
        <v>200</v>
      </c>
      <c r="B41" s="3" t="s">
        <v>35</v>
      </c>
      <c r="C41" s="22">
        <v>115</v>
      </c>
      <c r="D41" s="22">
        <v>120</v>
      </c>
      <c r="E41" s="22">
        <v>118</v>
      </c>
      <c r="F41" s="22">
        <v>111</v>
      </c>
      <c r="G41" s="3">
        <v>119</v>
      </c>
      <c r="H41" s="3">
        <v>124</v>
      </c>
      <c r="I41" s="3">
        <v>127</v>
      </c>
      <c r="J41" s="3">
        <v>136</v>
      </c>
      <c r="K41" s="3">
        <v>139</v>
      </c>
      <c r="L41" s="535">
        <v>148</v>
      </c>
    </row>
    <row r="42" spans="1:12">
      <c r="A42" s="3">
        <v>205</v>
      </c>
      <c r="B42" s="3" t="s">
        <v>36</v>
      </c>
      <c r="C42" s="22">
        <v>22</v>
      </c>
      <c r="D42" s="22">
        <v>24</v>
      </c>
      <c r="E42" s="22">
        <v>27</v>
      </c>
      <c r="F42" s="22">
        <v>27</v>
      </c>
      <c r="G42" s="3">
        <v>29</v>
      </c>
      <c r="H42" s="3">
        <v>31</v>
      </c>
      <c r="I42" s="3">
        <v>35</v>
      </c>
      <c r="J42" s="3">
        <v>35</v>
      </c>
      <c r="K42" s="3">
        <v>40</v>
      </c>
      <c r="L42" s="535">
        <v>50</v>
      </c>
    </row>
    <row r="43" spans="1:12">
      <c r="A43" s="3">
        <v>210</v>
      </c>
      <c r="B43" s="3" t="s">
        <v>37</v>
      </c>
      <c r="C43" s="22">
        <v>57</v>
      </c>
      <c r="D43" s="22">
        <v>66</v>
      </c>
      <c r="E43" s="22">
        <v>67</v>
      </c>
      <c r="F43" s="22">
        <v>67</v>
      </c>
      <c r="G43" s="3">
        <v>66</v>
      </c>
      <c r="H43" s="3">
        <v>67</v>
      </c>
      <c r="I43" s="3">
        <v>67</v>
      </c>
      <c r="J43" s="3">
        <v>79</v>
      </c>
      <c r="K43" s="3">
        <v>83</v>
      </c>
      <c r="L43" s="535">
        <v>93</v>
      </c>
    </row>
    <row r="44" spans="1:12">
      <c r="A44" s="3">
        <v>211</v>
      </c>
      <c r="B44" s="3" t="s">
        <v>38</v>
      </c>
      <c r="C44" s="22">
        <v>107</v>
      </c>
      <c r="D44" s="22">
        <v>121</v>
      </c>
      <c r="E44" s="22">
        <v>113</v>
      </c>
      <c r="F44" s="22">
        <v>112</v>
      </c>
      <c r="G44" s="3">
        <v>119</v>
      </c>
      <c r="H44" s="3">
        <v>130</v>
      </c>
      <c r="I44" s="3">
        <v>146</v>
      </c>
      <c r="J44" s="3">
        <v>147</v>
      </c>
      <c r="K44" s="3">
        <v>154</v>
      </c>
      <c r="L44" s="535">
        <v>161</v>
      </c>
    </row>
    <row r="45" spans="1:12">
      <c r="A45" s="3">
        <v>212</v>
      </c>
      <c r="B45" s="3" t="s">
        <v>39</v>
      </c>
      <c r="C45" s="22">
        <v>13</v>
      </c>
      <c r="D45" s="22">
        <v>17</v>
      </c>
      <c r="E45" s="22">
        <v>18</v>
      </c>
      <c r="F45" s="22">
        <v>18</v>
      </c>
      <c r="G45" s="3">
        <v>17</v>
      </c>
      <c r="H45" s="3">
        <v>17</v>
      </c>
      <c r="I45" s="3">
        <v>18</v>
      </c>
      <c r="J45" s="3">
        <v>21</v>
      </c>
      <c r="K45" s="3">
        <v>21</v>
      </c>
      <c r="L45" s="535">
        <v>23</v>
      </c>
    </row>
    <row r="46" spans="1:12">
      <c r="A46" s="3">
        <v>220</v>
      </c>
      <c r="B46" s="3" t="s">
        <v>40</v>
      </c>
      <c r="C46" s="22">
        <v>115</v>
      </c>
      <c r="D46" s="22">
        <v>117</v>
      </c>
      <c r="E46" s="22">
        <v>111</v>
      </c>
      <c r="F46" s="22">
        <v>119</v>
      </c>
      <c r="G46" s="3">
        <v>110</v>
      </c>
      <c r="H46" s="3">
        <v>128</v>
      </c>
      <c r="I46" s="3">
        <v>131</v>
      </c>
      <c r="J46" s="3">
        <v>147</v>
      </c>
      <c r="K46" s="3">
        <v>145</v>
      </c>
      <c r="L46" s="535">
        <v>143</v>
      </c>
    </row>
    <row r="47" spans="1:12">
      <c r="A47" s="3">
        <v>221</v>
      </c>
      <c r="B47" s="3" t="s">
        <v>41</v>
      </c>
      <c r="C47" s="534" t="s">
        <v>194</v>
      </c>
      <c r="D47" s="22">
        <v>0</v>
      </c>
      <c r="E47" s="22">
        <v>0</v>
      </c>
      <c r="F47" s="22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535">
        <v>2</v>
      </c>
    </row>
    <row r="48" spans="1:12">
      <c r="A48" s="3">
        <v>223</v>
      </c>
      <c r="B48" s="3" t="s">
        <v>42</v>
      </c>
      <c r="C48" s="534" t="s">
        <v>194</v>
      </c>
      <c r="D48" s="22">
        <v>0</v>
      </c>
      <c r="E48" s="22">
        <v>0</v>
      </c>
      <c r="F48" s="22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535">
        <v>0</v>
      </c>
    </row>
    <row r="49" spans="1:12">
      <c r="A49" s="3">
        <v>225</v>
      </c>
      <c r="B49" s="3" t="s">
        <v>43</v>
      </c>
      <c r="C49" s="22">
        <v>62</v>
      </c>
      <c r="D49" s="22">
        <v>64</v>
      </c>
      <c r="E49" s="22">
        <v>70</v>
      </c>
      <c r="F49" s="22">
        <v>67</v>
      </c>
      <c r="G49" s="3">
        <v>64</v>
      </c>
      <c r="H49" s="3">
        <v>69</v>
      </c>
      <c r="I49" s="3">
        <v>63</v>
      </c>
      <c r="J49" s="3">
        <v>65</v>
      </c>
      <c r="K49" s="3">
        <v>67</v>
      </c>
      <c r="L49" s="535">
        <v>77</v>
      </c>
    </row>
    <row r="50" spans="1:12">
      <c r="A50" s="3">
        <v>230</v>
      </c>
      <c r="B50" s="3" t="s">
        <v>44</v>
      </c>
      <c r="C50" s="22">
        <v>70</v>
      </c>
      <c r="D50" s="22">
        <v>72</v>
      </c>
      <c r="E50" s="22">
        <v>77</v>
      </c>
      <c r="F50" s="22">
        <v>76</v>
      </c>
      <c r="G50" s="3">
        <v>73</v>
      </c>
      <c r="H50" s="3">
        <v>82</v>
      </c>
      <c r="I50" s="3">
        <v>81</v>
      </c>
      <c r="J50" s="3">
        <v>94</v>
      </c>
      <c r="K50" s="3">
        <v>96</v>
      </c>
      <c r="L50" s="535">
        <v>100</v>
      </c>
    </row>
    <row r="51" spans="1:12">
      <c r="A51" s="3">
        <v>232</v>
      </c>
      <c r="B51" s="3" t="s">
        <v>45</v>
      </c>
      <c r="C51" s="534" t="s">
        <v>194</v>
      </c>
      <c r="D51" s="22">
        <v>0</v>
      </c>
      <c r="E51" s="22">
        <v>0</v>
      </c>
      <c r="F51" s="22">
        <v>0</v>
      </c>
      <c r="G51" s="3">
        <v>0</v>
      </c>
      <c r="H51" s="3">
        <v>2</v>
      </c>
      <c r="I51" s="3">
        <v>2</v>
      </c>
      <c r="J51" s="3">
        <v>2</v>
      </c>
      <c r="K51" s="3">
        <v>3</v>
      </c>
      <c r="L51" s="535">
        <v>3</v>
      </c>
    </row>
    <row r="52" spans="1:12">
      <c r="A52" s="3">
        <v>235</v>
      </c>
      <c r="B52" s="3" t="s">
        <v>46</v>
      </c>
      <c r="C52" s="22">
        <v>55</v>
      </c>
      <c r="D52" s="22">
        <v>53</v>
      </c>
      <c r="E52" s="22">
        <v>50</v>
      </c>
      <c r="F52" s="22">
        <v>61</v>
      </c>
      <c r="G52" s="3">
        <v>52</v>
      </c>
      <c r="H52" s="3">
        <v>51</v>
      </c>
      <c r="I52" s="3">
        <v>53</v>
      </c>
      <c r="J52" s="3">
        <v>57</v>
      </c>
      <c r="K52" s="3">
        <v>68</v>
      </c>
      <c r="L52" s="535">
        <v>72</v>
      </c>
    </row>
    <row r="53" spans="1:12">
      <c r="A53" s="3">
        <v>255</v>
      </c>
      <c r="B53" s="3" t="s">
        <v>47</v>
      </c>
      <c r="C53" s="22">
        <v>112</v>
      </c>
      <c r="D53" s="22">
        <v>112</v>
      </c>
      <c r="E53" s="22">
        <v>117</v>
      </c>
      <c r="F53" s="22">
        <v>116</v>
      </c>
      <c r="G53" s="3">
        <v>118</v>
      </c>
      <c r="H53" s="3">
        <v>115</v>
      </c>
      <c r="I53" s="3">
        <v>134</v>
      </c>
      <c r="J53" s="3">
        <v>138</v>
      </c>
      <c r="K53" s="3">
        <v>143</v>
      </c>
      <c r="L53" s="535">
        <v>137</v>
      </c>
    </row>
    <row r="54" spans="1:12" s="532" customFormat="1">
      <c r="A54" s="22">
        <v>265</v>
      </c>
      <c r="B54" s="22" t="s">
        <v>403</v>
      </c>
      <c r="C54" s="22">
        <v>60</v>
      </c>
      <c r="D54" s="22">
        <v>65</v>
      </c>
      <c r="E54" s="22">
        <v>69</v>
      </c>
      <c r="F54" s="534" t="s">
        <v>194</v>
      </c>
      <c r="G54" s="534" t="s">
        <v>194</v>
      </c>
      <c r="H54" s="534" t="s">
        <v>194</v>
      </c>
      <c r="I54" s="534" t="s">
        <v>194</v>
      </c>
      <c r="J54" s="534" t="s">
        <v>194</v>
      </c>
      <c r="K54" s="534" t="s">
        <v>194</v>
      </c>
      <c r="L54" s="534" t="s">
        <v>194</v>
      </c>
    </row>
    <row r="55" spans="1:12">
      <c r="A55" s="3">
        <v>290</v>
      </c>
      <c r="B55" s="3" t="s">
        <v>48</v>
      </c>
      <c r="C55" s="22">
        <v>54</v>
      </c>
      <c r="D55" s="22">
        <v>51</v>
      </c>
      <c r="E55" s="22">
        <v>54</v>
      </c>
      <c r="F55" s="22">
        <v>68</v>
      </c>
      <c r="G55" s="3">
        <v>59</v>
      </c>
      <c r="H55" s="3">
        <v>59</v>
      </c>
      <c r="I55" s="3">
        <v>61</v>
      </c>
      <c r="J55" s="3">
        <v>63</v>
      </c>
      <c r="K55" s="3">
        <v>81</v>
      </c>
      <c r="L55" s="535">
        <v>80</v>
      </c>
    </row>
    <row r="56" spans="1:12">
      <c r="A56" s="3">
        <v>305</v>
      </c>
      <c r="B56" s="3" t="s">
        <v>49</v>
      </c>
      <c r="C56" s="22">
        <v>65</v>
      </c>
      <c r="D56" s="22">
        <v>64</v>
      </c>
      <c r="E56" s="22">
        <v>68</v>
      </c>
      <c r="F56" s="22">
        <v>55</v>
      </c>
      <c r="G56" s="3">
        <v>71</v>
      </c>
      <c r="H56" s="3">
        <v>78</v>
      </c>
      <c r="I56" s="3">
        <v>81</v>
      </c>
      <c r="J56" s="3">
        <v>94</v>
      </c>
      <c r="K56" s="3">
        <v>104</v>
      </c>
      <c r="L56" s="535">
        <v>103</v>
      </c>
    </row>
    <row r="57" spans="1:12">
      <c r="A57" s="3">
        <v>310</v>
      </c>
      <c r="B57" s="3" t="s">
        <v>50</v>
      </c>
      <c r="C57" s="22">
        <v>44</v>
      </c>
      <c r="D57" s="22">
        <v>47</v>
      </c>
      <c r="E57" s="22">
        <v>44</v>
      </c>
      <c r="F57" s="22">
        <v>63</v>
      </c>
      <c r="G57" s="3">
        <v>53</v>
      </c>
      <c r="H57" s="3">
        <v>51</v>
      </c>
      <c r="I57" s="3">
        <v>56</v>
      </c>
      <c r="J57" s="3">
        <v>54</v>
      </c>
      <c r="K57" s="3">
        <v>64</v>
      </c>
      <c r="L57" s="535">
        <v>69</v>
      </c>
    </row>
    <row r="58" spans="1:12" s="532" customFormat="1">
      <c r="A58" s="22">
        <v>315</v>
      </c>
      <c r="B58" s="22" t="s">
        <v>198</v>
      </c>
      <c r="C58" s="22">
        <v>48</v>
      </c>
      <c r="D58" s="22">
        <v>52</v>
      </c>
      <c r="E58" s="22">
        <v>57</v>
      </c>
      <c r="F58" s="534" t="s">
        <v>194</v>
      </c>
      <c r="G58" s="534" t="s">
        <v>194</v>
      </c>
      <c r="H58" s="534" t="s">
        <v>194</v>
      </c>
      <c r="I58" s="534" t="s">
        <v>194</v>
      </c>
      <c r="J58" s="534" t="s">
        <v>194</v>
      </c>
      <c r="K58" s="534" t="s">
        <v>194</v>
      </c>
      <c r="L58" s="534" t="s">
        <v>194</v>
      </c>
    </row>
    <row r="59" spans="1:12">
      <c r="A59" s="3">
        <v>316</v>
      </c>
      <c r="B59" s="3" t="s">
        <v>51</v>
      </c>
      <c r="C59" s="534" t="s">
        <v>194</v>
      </c>
      <c r="D59" s="534" t="s">
        <v>194</v>
      </c>
      <c r="E59" s="534" t="s">
        <v>194</v>
      </c>
      <c r="F59" s="22">
        <v>51</v>
      </c>
      <c r="G59" s="3">
        <v>59</v>
      </c>
      <c r="H59" s="3">
        <v>63</v>
      </c>
      <c r="I59" s="3">
        <v>60</v>
      </c>
      <c r="J59" s="3">
        <v>62</v>
      </c>
      <c r="K59" s="3">
        <v>64</v>
      </c>
      <c r="L59" s="535">
        <v>70</v>
      </c>
    </row>
    <row r="60" spans="1:12">
      <c r="A60" s="3">
        <v>317</v>
      </c>
      <c r="B60" s="3" t="s">
        <v>52</v>
      </c>
      <c r="C60" s="534" t="s">
        <v>194</v>
      </c>
      <c r="D60" s="534" t="s">
        <v>194</v>
      </c>
      <c r="E60" s="534" t="s">
        <v>194</v>
      </c>
      <c r="F60" s="22">
        <v>61</v>
      </c>
      <c r="G60" s="3">
        <v>3</v>
      </c>
      <c r="H60" s="3">
        <v>21</v>
      </c>
      <c r="I60" s="3">
        <v>19</v>
      </c>
      <c r="J60" s="3">
        <v>24</v>
      </c>
      <c r="K60" s="3">
        <v>29</v>
      </c>
      <c r="L60" s="535">
        <v>36</v>
      </c>
    </row>
    <row r="61" spans="1:12">
      <c r="A61" s="3">
        <v>325</v>
      </c>
      <c r="B61" s="3" t="s">
        <v>53</v>
      </c>
      <c r="C61" s="22">
        <v>92</v>
      </c>
      <c r="D61" s="22">
        <v>106</v>
      </c>
      <c r="E61" s="22">
        <v>100</v>
      </c>
      <c r="F61" s="22">
        <v>102</v>
      </c>
      <c r="G61" s="3">
        <v>102</v>
      </c>
      <c r="H61" s="3">
        <v>102</v>
      </c>
      <c r="I61" s="3">
        <v>104</v>
      </c>
      <c r="J61" s="3">
        <v>113</v>
      </c>
      <c r="K61" s="3">
        <v>121</v>
      </c>
      <c r="L61" s="535">
        <v>120</v>
      </c>
    </row>
    <row r="62" spans="1:12">
      <c r="A62" s="3">
        <v>331</v>
      </c>
      <c r="B62" s="3" t="s">
        <v>54</v>
      </c>
      <c r="C62" s="534" t="s">
        <v>194</v>
      </c>
      <c r="D62" s="22">
        <v>0</v>
      </c>
      <c r="E62" s="22">
        <v>0</v>
      </c>
      <c r="F62" s="22">
        <v>0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535">
        <v>1</v>
      </c>
    </row>
    <row r="63" spans="1:12">
      <c r="A63" s="3">
        <v>338</v>
      </c>
      <c r="B63" s="3" t="s">
        <v>55</v>
      </c>
      <c r="C63" s="22">
        <v>10</v>
      </c>
      <c r="D63" s="22">
        <v>12</v>
      </c>
      <c r="E63" s="22">
        <v>13</v>
      </c>
      <c r="F63" s="22">
        <v>13</v>
      </c>
      <c r="G63" s="3">
        <v>13</v>
      </c>
      <c r="H63" s="3">
        <v>13</v>
      </c>
      <c r="I63" s="3">
        <v>11</v>
      </c>
      <c r="J63" s="3">
        <v>12</v>
      </c>
      <c r="K63" s="3">
        <v>11</v>
      </c>
      <c r="L63" s="535">
        <v>14</v>
      </c>
    </row>
    <row r="64" spans="1:12">
      <c r="A64" s="3">
        <v>339</v>
      </c>
      <c r="B64" s="3" t="s">
        <v>56</v>
      </c>
      <c r="C64" s="22">
        <v>12</v>
      </c>
      <c r="D64" s="22">
        <v>11</v>
      </c>
      <c r="E64" s="22">
        <v>15</v>
      </c>
      <c r="F64" s="22">
        <v>14</v>
      </c>
      <c r="G64" s="3">
        <v>16</v>
      </c>
      <c r="H64" s="3">
        <v>17</v>
      </c>
      <c r="I64" s="3">
        <v>16</v>
      </c>
      <c r="J64" s="3">
        <v>17</v>
      </c>
      <c r="K64" s="3">
        <v>23</v>
      </c>
      <c r="L64" s="535">
        <v>24</v>
      </c>
    </row>
    <row r="65" spans="1:12">
      <c r="A65" s="3">
        <v>341</v>
      </c>
      <c r="B65" s="3" t="s">
        <v>193</v>
      </c>
      <c r="C65" s="534" t="s">
        <v>194</v>
      </c>
      <c r="D65" s="534" t="s">
        <v>194</v>
      </c>
      <c r="E65" s="534" t="s">
        <v>194</v>
      </c>
      <c r="F65" s="534" t="s">
        <v>194</v>
      </c>
      <c r="G65" s="534" t="s">
        <v>194</v>
      </c>
      <c r="H65" s="3" t="s">
        <v>194</v>
      </c>
      <c r="I65" s="3" t="s">
        <v>194</v>
      </c>
      <c r="J65" s="3" t="s">
        <v>194</v>
      </c>
      <c r="K65" s="3">
        <v>0</v>
      </c>
      <c r="L65" s="535">
        <v>17</v>
      </c>
    </row>
    <row r="66" spans="1:12">
      <c r="A66" s="3">
        <v>343</v>
      </c>
      <c r="B66" s="3" t="s">
        <v>57</v>
      </c>
      <c r="C66" s="534" t="s">
        <v>194</v>
      </c>
      <c r="D66" s="534" t="s">
        <v>194</v>
      </c>
      <c r="E66" s="534" t="s">
        <v>194</v>
      </c>
      <c r="F66" s="534" t="s">
        <v>194</v>
      </c>
      <c r="G66" s="534" t="s">
        <v>194</v>
      </c>
      <c r="H66" s="3">
        <v>4</v>
      </c>
      <c r="I66" s="3">
        <v>11</v>
      </c>
      <c r="J66" s="3">
        <v>12</v>
      </c>
      <c r="K66" s="3">
        <v>21</v>
      </c>
      <c r="L66" s="535">
        <v>27</v>
      </c>
    </row>
    <row r="67" spans="1:12">
      <c r="A67" s="3">
        <v>344</v>
      </c>
      <c r="B67" s="3" t="s">
        <v>58</v>
      </c>
      <c r="C67" s="534" t="s">
        <v>194</v>
      </c>
      <c r="D67" s="534" t="s">
        <v>194</v>
      </c>
      <c r="E67" s="534" t="s">
        <v>194</v>
      </c>
      <c r="F67" s="534" t="s">
        <v>194</v>
      </c>
      <c r="G67" s="3">
        <v>11</v>
      </c>
      <c r="H67" s="3">
        <v>14</v>
      </c>
      <c r="I67" s="3">
        <v>18</v>
      </c>
      <c r="J67" s="3">
        <v>19</v>
      </c>
      <c r="K67" s="3">
        <v>49</v>
      </c>
      <c r="L67" s="535">
        <v>41</v>
      </c>
    </row>
    <row r="68" spans="1:12">
      <c r="A68" s="3">
        <v>345</v>
      </c>
      <c r="B68" s="3" t="s">
        <v>195</v>
      </c>
      <c r="C68" s="22">
        <v>71</v>
      </c>
      <c r="D68" s="22">
        <v>72</v>
      </c>
      <c r="E68" s="22">
        <v>71</v>
      </c>
      <c r="F68" s="22">
        <v>74</v>
      </c>
      <c r="G68" s="3">
        <v>46</v>
      </c>
      <c r="H68" s="3">
        <v>38</v>
      </c>
      <c r="I68" s="3">
        <v>39</v>
      </c>
      <c r="J68" s="3">
        <v>43</v>
      </c>
      <c r="K68" s="3">
        <v>52</v>
      </c>
      <c r="L68" s="535">
        <v>49</v>
      </c>
    </row>
    <row r="69" spans="1:12">
      <c r="A69" s="3">
        <v>346</v>
      </c>
      <c r="B69" s="3" t="s">
        <v>60</v>
      </c>
      <c r="C69" s="534" t="s">
        <v>194</v>
      </c>
      <c r="D69" s="534" t="s">
        <v>194</v>
      </c>
      <c r="E69" s="534" t="s">
        <v>194</v>
      </c>
      <c r="F69" s="534" t="s">
        <v>194</v>
      </c>
      <c r="G69" s="534" t="s">
        <v>194</v>
      </c>
      <c r="H69" s="3">
        <v>5</v>
      </c>
      <c r="I69" s="3">
        <v>13</v>
      </c>
      <c r="J69" s="3">
        <v>28</v>
      </c>
      <c r="K69" s="3">
        <v>31</v>
      </c>
      <c r="L69" s="535">
        <v>33</v>
      </c>
    </row>
    <row r="70" spans="1:12">
      <c r="A70" s="3">
        <v>347</v>
      </c>
      <c r="B70" s="3" t="s">
        <v>196</v>
      </c>
      <c r="C70" s="534" t="s">
        <v>194</v>
      </c>
      <c r="D70" s="534" t="s">
        <v>194</v>
      </c>
      <c r="E70" s="534" t="s">
        <v>194</v>
      </c>
      <c r="F70" s="534" t="s">
        <v>194</v>
      </c>
      <c r="G70" s="534" t="s">
        <v>194</v>
      </c>
      <c r="H70" s="3" t="s">
        <v>194</v>
      </c>
      <c r="I70" s="3" t="s">
        <v>194</v>
      </c>
      <c r="J70" s="3" t="s">
        <v>194</v>
      </c>
      <c r="K70" s="3">
        <v>0</v>
      </c>
      <c r="L70" s="535">
        <v>14</v>
      </c>
    </row>
    <row r="71" spans="1:12">
      <c r="A71" s="3">
        <v>349</v>
      </c>
      <c r="B71" s="3" t="s">
        <v>61</v>
      </c>
      <c r="C71" s="534" t="s">
        <v>194</v>
      </c>
      <c r="D71" s="534" t="s">
        <v>194</v>
      </c>
      <c r="E71" s="534" t="s">
        <v>194</v>
      </c>
      <c r="F71" s="534" t="s">
        <v>194</v>
      </c>
      <c r="G71" s="3">
        <v>6</v>
      </c>
      <c r="H71" s="3">
        <v>15</v>
      </c>
      <c r="I71" s="3">
        <v>15</v>
      </c>
      <c r="J71" s="3">
        <v>14</v>
      </c>
      <c r="K71" s="3">
        <v>29</v>
      </c>
      <c r="L71" s="535">
        <v>38</v>
      </c>
    </row>
    <row r="72" spans="1:12">
      <c r="A72" s="3">
        <v>350</v>
      </c>
      <c r="B72" s="3" t="s">
        <v>62</v>
      </c>
      <c r="C72" s="22">
        <v>52</v>
      </c>
      <c r="D72" s="22">
        <v>52</v>
      </c>
      <c r="E72" s="22">
        <v>56</v>
      </c>
      <c r="F72" s="22">
        <v>55</v>
      </c>
      <c r="G72" s="3">
        <v>54</v>
      </c>
      <c r="H72" s="3">
        <v>56</v>
      </c>
      <c r="I72" s="3">
        <v>60</v>
      </c>
      <c r="J72" s="3">
        <v>62</v>
      </c>
      <c r="K72" s="3">
        <v>68</v>
      </c>
      <c r="L72" s="535">
        <v>76</v>
      </c>
    </row>
    <row r="73" spans="1:12">
      <c r="A73" s="3">
        <v>352</v>
      </c>
      <c r="B73" s="3" t="s">
        <v>63</v>
      </c>
      <c r="C73" s="22">
        <v>11</v>
      </c>
      <c r="D73" s="22">
        <v>16</v>
      </c>
      <c r="E73" s="22">
        <v>19</v>
      </c>
      <c r="F73" s="22">
        <v>17</v>
      </c>
      <c r="G73" s="3">
        <v>17</v>
      </c>
      <c r="H73" s="3">
        <v>16</v>
      </c>
      <c r="I73" s="3">
        <v>16</v>
      </c>
      <c r="J73" s="3">
        <v>18</v>
      </c>
      <c r="K73" s="3">
        <v>30</v>
      </c>
      <c r="L73" s="535">
        <v>33</v>
      </c>
    </row>
    <row r="74" spans="1:12">
      <c r="A74" s="3">
        <v>355</v>
      </c>
      <c r="B74" s="3" t="s">
        <v>64</v>
      </c>
      <c r="C74" s="22">
        <v>40</v>
      </c>
      <c r="D74" s="22">
        <v>42</v>
      </c>
      <c r="E74" s="22">
        <v>49</v>
      </c>
      <c r="F74" s="22">
        <v>49</v>
      </c>
      <c r="G74" s="3">
        <v>49</v>
      </c>
      <c r="H74" s="3">
        <v>48</v>
      </c>
      <c r="I74" s="3">
        <v>50</v>
      </c>
      <c r="J74" s="3">
        <v>51</v>
      </c>
      <c r="K74" s="3">
        <v>53</v>
      </c>
      <c r="L74" s="535">
        <v>56</v>
      </c>
    </row>
    <row r="75" spans="1:12">
      <c r="A75" s="3">
        <v>359</v>
      </c>
      <c r="B75" s="3" t="s">
        <v>65</v>
      </c>
      <c r="C75" s="534" t="s">
        <v>194</v>
      </c>
      <c r="D75" s="534" t="s">
        <v>194</v>
      </c>
      <c r="E75" s="534" t="s">
        <v>194</v>
      </c>
      <c r="F75" s="534" t="s">
        <v>194</v>
      </c>
      <c r="G75" s="3">
        <v>1</v>
      </c>
      <c r="H75" s="3">
        <v>8</v>
      </c>
      <c r="I75" s="3">
        <v>11</v>
      </c>
      <c r="J75" s="3">
        <v>12</v>
      </c>
      <c r="K75" s="3">
        <v>13</v>
      </c>
      <c r="L75" s="535">
        <v>16</v>
      </c>
    </row>
    <row r="76" spans="1:12">
      <c r="A76" s="3">
        <v>360</v>
      </c>
      <c r="B76" s="3" t="s">
        <v>66</v>
      </c>
      <c r="C76" s="22">
        <v>70</v>
      </c>
      <c r="D76" s="22">
        <v>56</v>
      </c>
      <c r="E76" s="22">
        <v>54</v>
      </c>
      <c r="F76" s="22">
        <v>53</v>
      </c>
      <c r="G76" s="3">
        <v>60</v>
      </c>
      <c r="H76" s="3">
        <v>58</v>
      </c>
      <c r="I76" s="3">
        <v>63</v>
      </c>
      <c r="J76" s="3">
        <v>64</v>
      </c>
      <c r="K76" s="3">
        <v>61</v>
      </c>
      <c r="L76" s="535">
        <v>63</v>
      </c>
    </row>
    <row r="77" spans="1:12">
      <c r="A77" s="3">
        <v>365</v>
      </c>
      <c r="B77" s="3" t="s">
        <v>67</v>
      </c>
      <c r="C77" s="22">
        <v>100</v>
      </c>
      <c r="D77" s="22">
        <v>102</v>
      </c>
      <c r="E77" s="22">
        <v>108</v>
      </c>
      <c r="F77" s="22">
        <v>106</v>
      </c>
      <c r="G77" s="3">
        <v>119</v>
      </c>
      <c r="H77" s="3">
        <v>131</v>
      </c>
      <c r="I77" s="3">
        <v>129</v>
      </c>
      <c r="J77" s="3">
        <v>123</v>
      </c>
      <c r="K77" s="3">
        <v>132</v>
      </c>
      <c r="L77" s="535">
        <v>132</v>
      </c>
    </row>
    <row r="78" spans="1:12">
      <c r="A78" s="3">
        <v>366</v>
      </c>
      <c r="B78" s="3" t="s">
        <v>68</v>
      </c>
      <c r="C78" s="534" t="s">
        <v>194</v>
      </c>
      <c r="D78" s="534" t="s">
        <v>194</v>
      </c>
      <c r="E78" s="534" t="s">
        <v>194</v>
      </c>
      <c r="F78" s="534" t="s">
        <v>194</v>
      </c>
      <c r="G78" s="3">
        <v>11</v>
      </c>
      <c r="H78" s="3">
        <v>11</v>
      </c>
      <c r="I78" s="3">
        <v>14</v>
      </c>
      <c r="J78" s="3">
        <v>14</v>
      </c>
      <c r="K78" s="3">
        <v>20</v>
      </c>
      <c r="L78" s="535">
        <v>25</v>
      </c>
    </row>
    <row r="79" spans="1:12">
      <c r="A79" s="3">
        <v>367</v>
      </c>
      <c r="B79" s="3" t="s">
        <v>69</v>
      </c>
      <c r="C79" s="534" t="s">
        <v>194</v>
      </c>
      <c r="D79" s="534" t="s">
        <v>194</v>
      </c>
      <c r="E79" s="534" t="s">
        <v>194</v>
      </c>
      <c r="F79" s="534" t="s">
        <v>194</v>
      </c>
      <c r="G79" s="3">
        <v>13</v>
      </c>
      <c r="H79" s="3">
        <v>17</v>
      </c>
      <c r="I79" s="3">
        <v>18</v>
      </c>
      <c r="J79" s="3">
        <v>22</v>
      </c>
      <c r="K79" s="3">
        <v>26</v>
      </c>
      <c r="L79" s="535">
        <v>35</v>
      </c>
    </row>
    <row r="80" spans="1:12">
      <c r="A80" s="3">
        <v>368</v>
      </c>
      <c r="B80" s="3" t="s">
        <v>70</v>
      </c>
      <c r="C80" s="534" t="s">
        <v>194</v>
      </c>
      <c r="D80" s="534" t="s">
        <v>194</v>
      </c>
      <c r="E80" s="534" t="s">
        <v>194</v>
      </c>
      <c r="F80" s="534" t="s">
        <v>194</v>
      </c>
      <c r="G80" s="3">
        <v>15</v>
      </c>
      <c r="H80" s="3">
        <v>17</v>
      </c>
      <c r="I80" s="3">
        <v>19</v>
      </c>
      <c r="J80" s="3">
        <v>19</v>
      </c>
      <c r="K80" s="3">
        <v>21</v>
      </c>
      <c r="L80" s="535">
        <v>33</v>
      </c>
    </row>
    <row r="81" spans="1:12">
      <c r="A81" s="3">
        <v>369</v>
      </c>
      <c r="B81" s="3" t="s">
        <v>71</v>
      </c>
      <c r="C81" s="534" t="s">
        <v>194</v>
      </c>
      <c r="D81" s="534" t="s">
        <v>194</v>
      </c>
      <c r="E81" s="534" t="s">
        <v>194</v>
      </c>
      <c r="F81" s="534" t="s">
        <v>194</v>
      </c>
      <c r="G81" s="3">
        <v>24</v>
      </c>
      <c r="H81" s="3">
        <v>29</v>
      </c>
      <c r="I81" s="3">
        <v>53</v>
      </c>
      <c r="J81" s="3">
        <v>55</v>
      </c>
      <c r="K81" s="3">
        <v>57</v>
      </c>
      <c r="L81" s="535">
        <v>62</v>
      </c>
    </row>
    <row r="82" spans="1:12">
      <c r="A82" s="3">
        <v>370</v>
      </c>
      <c r="B82" s="3" t="s">
        <v>72</v>
      </c>
      <c r="C82" s="534" t="s">
        <v>194</v>
      </c>
      <c r="D82" s="534" t="s">
        <v>194</v>
      </c>
      <c r="E82" s="534" t="s">
        <v>194</v>
      </c>
      <c r="F82" s="534" t="s">
        <v>194</v>
      </c>
      <c r="G82" s="3">
        <v>4</v>
      </c>
      <c r="H82" s="3">
        <v>13</v>
      </c>
      <c r="I82" s="3">
        <v>18</v>
      </c>
      <c r="J82" s="3">
        <v>18</v>
      </c>
      <c r="K82" s="3">
        <v>24</v>
      </c>
      <c r="L82" s="535">
        <v>30</v>
      </c>
    </row>
    <row r="83" spans="1:12">
      <c r="A83" s="3">
        <v>371</v>
      </c>
      <c r="B83" s="3" t="s">
        <v>73</v>
      </c>
      <c r="C83" s="534" t="s">
        <v>194</v>
      </c>
      <c r="D83" s="534" t="s">
        <v>194</v>
      </c>
      <c r="E83" s="534" t="s">
        <v>194</v>
      </c>
      <c r="F83" s="534" t="s">
        <v>194</v>
      </c>
      <c r="G83" s="3">
        <v>3</v>
      </c>
      <c r="H83" s="3">
        <v>5</v>
      </c>
      <c r="I83" s="3">
        <v>9</v>
      </c>
      <c r="J83" s="3">
        <v>11</v>
      </c>
      <c r="K83" s="3">
        <v>18</v>
      </c>
      <c r="L83" s="535">
        <v>22</v>
      </c>
    </row>
    <row r="84" spans="1:12">
      <c r="A84" s="3">
        <v>372</v>
      </c>
      <c r="B84" s="3" t="s">
        <v>74</v>
      </c>
      <c r="C84" s="534" t="s">
        <v>194</v>
      </c>
      <c r="D84" s="534" t="s">
        <v>194</v>
      </c>
      <c r="E84" s="534" t="s">
        <v>194</v>
      </c>
      <c r="F84" s="534" t="s">
        <v>194</v>
      </c>
      <c r="G84" s="3">
        <v>3</v>
      </c>
      <c r="H84" s="3">
        <v>9</v>
      </c>
      <c r="I84" s="3">
        <v>12</v>
      </c>
      <c r="J84" s="3">
        <v>15</v>
      </c>
      <c r="K84" s="3">
        <v>17</v>
      </c>
      <c r="L84" s="535">
        <v>23</v>
      </c>
    </row>
    <row r="85" spans="1:12">
      <c r="A85" s="3">
        <v>373</v>
      </c>
      <c r="B85" s="3" t="s">
        <v>75</v>
      </c>
      <c r="C85" s="534" t="s">
        <v>194</v>
      </c>
      <c r="D85" s="534" t="s">
        <v>194</v>
      </c>
      <c r="E85" s="534" t="s">
        <v>194</v>
      </c>
      <c r="F85" s="534" t="s">
        <v>194</v>
      </c>
      <c r="G85" s="3">
        <v>3</v>
      </c>
      <c r="H85" s="3">
        <v>12</v>
      </c>
      <c r="I85" s="3">
        <v>13</v>
      </c>
      <c r="J85" s="3">
        <v>14</v>
      </c>
      <c r="K85" s="3">
        <v>25</v>
      </c>
      <c r="L85" s="535">
        <v>36</v>
      </c>
    </row>
    <row r="86" spans="1:12">
      <c r="A86" s="3">
        <v>375</v>
      </c>
      <c r="B86" s="3" t="s">
        <v>76</v>
      </c>
      <c r="C86" s="22">
        <v>40</v>
      </c>
      <c r="D86" s="22">
        <v>38</v>
      </c>
      <c r="E86" s="22">
        <v>42</v>
      </c>
      <c r="F86" s="22">
        <v>42</v>
      </c>
      <c r="G86" s="3">
        <v>36</v>
      </c>
      <c r="H86" s="3">
        <v>42</v>
      </c>
      <c r="I86" s="3">
        <v>43</v>
      </c>
      <c r="J86" s="3">
        <v>44</v>
      </c>
      <c r="K86" s="3">
        <v>46</v>
      </c>
      <c r="L86" s="535">
        <v>50</v>
      </c>
    </row>
    <row r="87" spans="1:12">
      <c r="A87" s="3">
        <v>380</v>
      </c>
      <c r="B87" s="3" t="s">
        <v>77</v>
      </c>
      <c r="C87" s="22">
        <v>71</v>
      </c>
      <c r="D87" s="22">
        <v>71</v>
      </c>
      <c r="E87" s="22">
        <v>73</v>
      </c>
      <c r="F87" s="22">
        <v>71</v>
      </c>
      <c r="G87" s="3">
        <v>74</v>
      </c>
      <c r="H87" s="3">
        <v>81</v>
      </c>
      <c r="I87" s="3">
        <v>83</v>
      </c>
      <c r="J87" s="3">
        <v>85</v>
      </c>
      <c r="K87" s="3">
        <v>90</v>
      </c>
      <c r="L87" s="535">
        <v>88</v>
      </c>
    </row>
    <row r="88" spans="1:12">
      <c r="A88" s="3">
        <v>385</v>
      </c>
      <c r="B88" s="3" t="s">
        <v>78</v>
      </c>
      <c r="C88" s="22">
        <v>37</v>
      </c>
      <c r="D88" s="22">
        <v>37</v>
      </c>
      <c r="E88" s="22">
        <v>40</v>
      </c>
      <c r="F88" s="22">
        <v>43</v>
      </c>
      <c r="G88" s="3">
        <v>38</v>
      </c>
      <c r="H88" s="3">
        <v>39</v>
      </c>
      <c r="I88" s="3">
        <v>42</v>
      </c>
      <c r="J88" s="3">
        <v>47</v>
      </c>
      <c r="K88" s="3">
        <v>50</v>
      </c>
      <c r="L88" s="535">
        <v>54</v>
      </c>
    </row>
    <row r="89" spans="1:12">
      <c r="A89" s="3">
        <v>390</v>
      </c>
      <c r="B89" s="3" t="s">
        <v>79</v>
      </c>
      <c r="C89" s="22">
        <v>50</v>
      </c>
      <c r="D89" s="22">
        <v>48</v>
      </c>
      <c r="E89" s="22">
        <v>48</v>
      </c>
      <c r="F89" s="22">
        <v>45</v>
      </c>
      <c r="G89" s="3">
        <v>54</v>
      </c>
      <c r="H89" s="3">
        <v>53</v>
      </c>
      <c r="I89" s="3">
        <v>52</v>
      </c>
      <c r="J89" s="3">
        <v>58</v>
      </c>
      <c r="K89" s="3">
        <v>66</v>
      </c>
      <c r="L89" s="535">
        <v>62</v>
      </c>
    </row>
    <row r="90" spans="1:12">
      <c r="A90" s="3">
        <v>395</v>
      </c>
      <c r="B90" s="3" t="s">
        <v>80</v>
      </c>
      <c r="C90" s="22">
        <v>10</v>
      </c>
      <c r="D90" s="22">
        <v>10</v>
      </c>
      <c r="E90" s="22">
        <v>9</v>
      </c>
      <c r="F90" s="22">
        <v>9</v>
      </c>
      <c r="G90" s="3">
        <v>9</v>
      </c>
      <c r="H90" s="3">
        <v>10</v>
      </c>
      <c r="I90" s="3">
        <v>9</v>
      </c>
      <c r="J90" s="3">
        <v>10</v>
      </c>
      <c r="K90" s="3">
        <v>12</v>
      </c>
      <c r="L90" s="535">
        <v>11</v>
      </c>
    </row>
    <row r="91" spans="1:12">
      <c r="A91" s="3">
        <v>402</v>
      </c>
      <c r="B91" s="3" t="s">
        <v>81</v>
      </c>
      <c r="C91" s="22">
        <v>17</v>
      </c>
      <c r="D91" s="22">
        <v>7</v>
      </c>
      <c r="E91" s="22">
        <v>8</v>
      </c>
      <c r="F91" s="22">
        <v>8</v>
      </c>
      <c r="G91" s="3">
        <v>8</v>
      </c>
      <c r="H91" s="3">
        <v>8</v>
      </c>
      <c r="I91" s="3">
        <v>8</v>
      </c>
      <c r="J91" s="3">
        <v>8</v>
      </c>
      <c r="K91" s="3">
        <v>0</v>
      </c>
      <c r="L91" s="535">
        <v>10</v>
      </c>
    </row>
    <row r="92" spans="1:12">
      <c r="A92" s="3">
        <v>403</v>
      </c>
      <c r="B92" s="3" t="s">
        <v>82</v>
      </c>
      <c r="C92" s="22">
        <v>0</v>
      </c>
      <c r="D92" s="22">
        <v>7</v>
      </c>
      <c r="E92" s="22">
        <v>6</v>
      </c>
      <c r="F92" s="22">
        <v>6</v>
      </c>
      <c r="G92" s="3">
        <v>4</v>
      </c>
      <c r="H92" s="3">
        <v>4</v>
      </c>
      <c r="I92" s="3">
        <v>2</v>
      </c>
      <c r="J92" s="3">
        <v>3</v>
      </c>
      <c r="K92" s="3">
        <v>6</v>
      </c>
      <c r="L92" s="535">
        <v>5</v>
      </c>
    </row>
    <row r="93" spans="1:12">
      <c r="A93" s="3">
        <v>404</v>
      </c>
      <c r="B93" s="3" t="s">
        <v>83</v>
      </c>
      <c r="C93" s="22">
        <v>13</v>
      </c>
      <c r="D93" s="22">
        <v>14</v>
      </c>
      <c r="E93" s="22">
        <v>14</v>
      </c>
      <c r="F93" s="22">
        <v>13</v>
      </c>
      <c r="G93" s="3">
        <v>12</v>
      </c>
      <c r="H93" s="3">
        <v>12</v>
      </c>
      <c r="I93" s="3">
        <v>9</v>
      </c>
      <c r="J93" s="3">
        <v>9</v>
      </c>
      <c r="K93" s="3">
        <v>7</v>
      </c>
      <c r="L93" s="535">
        <v>10</v>
      </c>
    </row>
    <row r="94" spans="1:12">
      <c r="A94" s="3">
        <v>411</v>
      </c>
      <c r="B94" s="3" t="s">
        <v>84</v>
      </c>
      <c r="C94" s="22">
        <v>6</v>
      </c>
      <c r="D94" s="22">
        <v>8</v>
      </c>
      <c r="E94" s="22">
        <v>10</v>
      </c>
      <c r="F94" s="22">
        <v>10</v>
      </c>
      <c r="G94" s="3">
        <v>9</v>
      </c>
      <c r="H94" s="3">
        <v>9</v>
      </c>
      <c r="I94" s="3">
        <v>8</v>
      </c>
      <c r="J94" s="3">
        <v>7</v>
      </c>
      <c r="K94" s="3">
        <v>7</v>
      </c>
      <c r="L94" s="535">
        <v>11</v>
      </c>
    </row>
    <row r="95" spans="1:12">
      <c r="A95" s="3">
        <v>420</v>
      </c>
      <c r="B95" s="3" t="s">
        <v>85</v>
      </c>
      <c r="C95" s="22">
        <v>8</v>
      </c>
      <c r="D95" s="22">
        <v>8</v>
      </c>
      <c r="E95" s="22">
        <v>4</v>
      </c>
      <c r="F95" s="22">
        <v>4</v>
      </c>
      <c r="G95" s="3">
        <v>4</v>
      </c>
      <c r="H95" s="3">
        <v>5</v>
      </c>
      <c r="I95" s="3">
        <v>6</v>
      </c>
      <c r="J95" s="3">
        <v>6</v>
      </c>
      <c r="K95" s="3">
        <v>6</v>
      </c>
      <c r="L95" s="535">
        <v>7</v>
      </c>
    </row>
    <row r="96" spans="1:12">
      <c r="A96" s="3">
        <v>432</v>
      </c>
      <c r="B96" s="3" t="s">
        <v>86</v>
      </c>
      <c r="C96" s="22">
        <v>11</v>
      </c>
      <c r="D96" s="22">
        <v>16</v>
      </c>
      <c r="E96" s="22">
        <v>18</v>
      </c>
      <c r="F96" s="22">
        <v>20</v>
      </c>
      <c r="G96" s="3">
        <v>18</v>
      </c>
      <c r="H96" s="3">
        <v>16</v>
      </c>
      <c r="I96" s="3">
        <v>14</v>
      </c>
      <c r="J96" s="3">
        <v>13</v>
      </c>
      <c r="K96" s="3">
        <v>21</v>
      </c>
      <c r="L96" s="535">
        <v>22</v>
      </c>
    </row>
    <row r="97" spans="1:12">
      <c r="A97" s="3">
        <v>433</v>
      </c>
      <c r="B97" s="3" t="s">
        <v>87</v>
      </c>
      <c r="C97" s="22">
        <v>50</v>
      </c>
      <c r="D97" s="22">
        <v>44</v>
      </c>
      <c r="E97" s="22">
        <v>49</v>
      </c>
      <c r="F97" s="22">
        <v>50</v>
      </c>
      <c r="G97" s="3">
        <v>44</v>
      </c>
      <c r="H97" s="3">
        <v>47</v>
      </c>
      <c r="I97" s="3">
        <v>45</v>
      </c>
      <c r="J97" s="3">
        <v>43</v>
      </c>
      <c r="K97" s="3">
        <v>51</v>
      </c>
      <c r="L97" s="535">
        <v>53</v>
      </c>
    </row>
    <row r="98" spans="1:12">
      <c r="A98" s="3">
        <v>434</v>
      </c>
      <c r="B98" s="3" t="s">
        <v>88</v>
      </c>
      <c r="C98" s="22">
        <v>8</v>
      </c>
      <c r="D98" s="22">
        <v>12</v>
      </c>
      <c r="E98" s="22">
        <v>14</v>
      </c>
      <c r="F98" s="22">
        <v>12</v>
      </c>
      <c r="G98" s="3">
        <v>10</v>
      </c>
      <c r="H98" s="3">
        <v>9</v>
      </c>
      <c r="I98" s="3">
        <v>10</v>
      </c>
      <c r="J98" s="3">
        <v>10</v>
      </c>
      <c r="K98" s="3">
        <v>12</v>
      </c>
      <c r="L98" s="535">
        <v>14</v>
      </c>
    </row>
    <row r="99" spans="1:12">
      <c r="A99" s="3">
        <v>435</v>
      </c>
      <c r="B99" s="3" t="s">
        <v>89</v>
      </c>
      <c r="C99" s="22">
        <v>16</v>
      </c>
      <c r="D99" s="22">
        <v>12</v>
      </c>
      <c r="E99" s="22">
        <v>16</v>
      </c>
      <c r="F99" s="22">
        <v>15</v>
      </c>
      <c r="G99" s="3">
        <v>15</v>
      </c>
      <c r="H99" s="3">
        <v>15</v>
      </c>
      <c r="I99" s="3">
        <v>14</v>
      </c>
      <c r="J99" s="3">
        <v>15</v>
      </c>
      <c r="K99" s="3">
        <v>15</v>
      </c>
      <c r="L99" s="535">
        <v>18</v>
      </c>
    </row>
    <row r="100" spans="1:12">
      <c r="A100" s="3">
        <v>436</v>
      </c>
      <c r="B100" s="3" t="s">
        <v>90</v>
      </c>
      <c r="C100" s="22">
        <v>8</v>
      </c>
      <c r="D100" s="22">
        <v>10</v>
      </c>
      <c r="E100" s="22">
        <v>16</v>
      </c>
      <c r="F100" s="22">
        <v>15</v>
      </c>
      <c r="G100" s="3">
        <v>14</v>
      </c>
      <c r="H100" s="3">
        <v>13</v>
      </c>
      <c r="I100" s="3">
        <v>12</v>
      </c>
      <c r="J100" s="3">
        <v>12</v>
      </c>
      <c r="K100" s="3">
        <v>14</v>
      </c>
      <c r="L100" s="535">
        <v>15</v>
      </c>
    </row>
    <row r="101" spans="1:12">
      <c r="A101" s="3">
        <v>437</v>
      </c>
      <c r="B101" s="3" t="s">
        <v>91</v>
      </c>
      <c r="C101" s="22">
        <v>36</v>
      </c>
      <c r="D101" s="22">
        <v>41</v>
      </c>
      <c r="E101" s="22">
        <v>39</v>
      </c>
      <c r="F101" s="22">
        <v>43</v>
      </c>
      <c r="G101" s="3">
        <v>40</v>
      </c>
      <c r="H101" s="3">
        <v>40</v>
      </c>
      <c r="I101" s="3">
        <v>40</v>
      </c>
      <c r="J101" s="3">
        <v>39</v>
      </c>
      <c r="K101" s="3">
        <v>45</v>
      </c>
      <c r="L101" s="535">
        <v>36</v>
      </c>
    </row>
    <row r="102" spans="1:12">
      <c r="A102" s="3">
        <v>438</v>
      </c>
      <c r="B102" s="3" t="s">
        <v>92</v>
      </c>
      <c r="C102" s="22">
        <v>26</v>
      </c>
      <c r="D102" s="22">
        <v>30</v>
      </c>
      <c r="E102" s="22">
        <v>24</v>
      </c>
      <c r="F102" s="22">
        <v>32</v>
      </c>
      <c r="G102" s="3">
        <v>24</v>
      </c>
      <c r="H102" s="3">
        <v>24</v>
      </c>
      <c r="I102" s="3">
        <v>24</v>
      </c>
      <c r="J102" s="3">
        <v>22</v>
      </c>
      <c r="K102" s="3">
        <v>25</v>
      </c>
      <c r="L102" s="535">
        <v>21</v>
      </c>
    </row>
    <row r="103" spans="1:12">
      <c r="A103" s="3">
        <v>439</v>
      </c>
      <c r="B103" s="3" t="s">
        <v>93</v>
      </c>
      <c r="C103" s="22">
        <v>8</v>
      </c>
      <c r="D103" s="22">
        <v>8</v>
      </c>
      <c r="E103" s="22">
        <v>10</v>
      </c>
      <c r="F103" s="22">
        <v>9</v>
      </c>
      <c r="G103" s="3">
        <v>7</v>
      </c>
      <c r="H103" s="3">
        <v>7</v>
      </c>
      <c r="I103" s="3">
        <v>6</v>
      </c>
      <c r="J103" s="3">
        <v>11</v>
      </c>
      <c r="K103" s="3">
        <v>20</v>
      </c>
      <c r="L103" s="535">
        <v>23</v>
      </c>
    </row>
    <row r="104" spans="1:12">
      <c r="A104" s="3">
        <v>450</v>
      </c>
      <c r="B104" s="3" t="s">
        <v>94</v>
      </c>
      <c r="C104" s="22">
        <v>22</v>
      </c>
      <c r="D104" s="22">
        <v>21</v>
      </c>
      <c r="E104" s="22">
        <v>20</v>
      </c>
      <c r="F104" s="22">
        <v>18</v>
      </c>
      <c r="G104" s="3">
        <v>4</v>
      </c>
      <c r="H104" s="3">
        <v>17</v>
      </c>
      <c r="I104" s="3">
        <v>17</v>
      </c>
      <c r="J104" s="3">
        <v>15</v>
      </c>
      <c r="K104" s="3">
        <v>14</v>
      </c>
      <c r="L104" s="535">
        <v>15</v>
      </c>
    </row>
    <row r="105" spans="1:12">
      <c r="A105" s="3">
        <v>451</v>
      </c>
      <c r="B105" s="3" t="s">
        <v>95</v>
      </c>
      <c r="C105" s="22">
        <v>16</v>
      </c>
      <c r="D105" s="22">
        <v>15</v>
      </c>
      <c r="E105" s="22">
        <v>15</v>
      </c>
      <c r="F105" s="22">
        <v>15</v>
      </c>
      <c r="G105" s="3">
        <v>12</v>
      </c>
      <c r="H105" s="3">
        <v>10</v>
      </c>
      <c r="I105" s="3">
        <v>9</v>
      </c>
      <c r="J105" s="3">
        <v>11</v>
      </c>
      <c r="K105" s="3">
        <v>8</v>
      </c>
      <c r="L105" s="535">
        <v>10</v>
      </c>
    </row>
    <row r="106" spans="1:12">
      <c r="A106" s="3">
        <v>452</v>
      </c>
      <c r="B106" s="3" t="s">
        <v>96</v>
      </c>
      <c r="C106" s="22">
        <v>45</v>
      </c>
      <c r="D106" s="22">
        <v>34</v>
      </c>
      <c r="E106" s="22">
        <v>34</v>
      </c>
      <c r="F106" s="22">
        <v>36</v>
      </c>
      <c r="G106" s="3">
        <v>30</v>
      </c>
      <c r="H106" s="3">
        <v>28</v>
      </c>
      <c r="I106" s="3">
        <v>33</v>
      </c>
      <c r="J106" s="3">
        <v>35</v>
      </c>
      <c r="K106" s="3">
        <v>36</v>
      </c>
      <c r="L106" s="535">
        <v>37</v>
      </c>
    </row>
    <row r="107" spans="1:12">
      <c r="A107" s="3">
        <v>461</v>
      </c>
      <c r="B107" s="3" t="s">
        <v>97</v>
      </c>
      <c r="C107" s="22">
        <v>11</v>
      </c>
      <c r="D107" s="22">
        <v>12</v>
      </c>
      <c r="E107" s="22">
        <v>12</v>
      </c>
      <c r="F107" s="22">
        <v>13</v>
      </c>
      <c r="G107" s="3">
        <v>11</v>
      </c>
      <c r="H107" s="3">
        <v>13</v>
      </c>
      <c r="I107" s="3">
        <v>12</v>
      </c>
      <c r="J107" s="3">
        <v>11</v>
      </c>
      <c r="K107" s="3">
        <v>11</v>
      </c>
      <c r="L107" s="535">
        <v>9</v>
      </c>
    </row>
    <row r="108" spans="1:12">
      <c r="A108" s="3">
        <v>471</v>
      </c>
      <c r="B108" s="3" t="s">
        <v>98</v>
      </c>
      <c r="C108" s="22">
        <v>23</v>
      </c>
      <c r="D108" s="22">
        <v>28</v>
      </c>
      <c r="E108" s="22">
        <v>29</v>
      </c>
      <c r="F108" s="22">
        <v>30</v>
      </c>
      <c r="G108" s="3">
        <v>31</v>
      </c>
      <c r="H108" s="3">
        <v>30</v>
      </c>
      <c r="I108" s="3">
        <v>24</v>
      </c>
      <c r="J108" s="3">
        <v>24</v>
      </c>
      <c r="K108" s="3">
        <v>26</v>
      </c>
      <c r="L108" s="535">
        <v>26</v>
      </c>
    </row>
    <row r="109" spans="1:12">
      <c r="A109" s="3">
        <v>475</v>
      </c>
      <c r="B109" s="3" t="s">
        <v>99</v>
      </c>
      <c r="C109" s="22">
        <v>66</v>
      </c>
      <c r="D109" s="22">
        <v>69</v>
      </c>
      <c r="E109" s="22">
        <v>75</v>
      </c>
      <c r="F109" s="22">
        <v>73</v>
      </c>
      <c r="G109" s="3">
        <v>70</v>
      </c>
      <c r="H109" s="3">
        <v>67</v>
      </c>
      <c r="I109" s="3">
        <v>67</v>
      </c>
      <c r="J109" s="3">
        <v>66</v>
      </c>
      <c r="K109" s="3">
        <v>73</v>
      </c>
      <c r="L109" s="535">
        <v>74</v>
      </c>
    </row>
    <row r="110" spans="1:12">
      <c r="A110" s="3">
        <v>481</v>
      </c>
      <c r="B110" s="3" t="s">
        <v>100</v>
      </c>
      <c r="C110" s="22">
        <v>23</v>
      </c>
      <c r="D110" s="22">
        <v>33</v>
      </c>
      <c r="E110" s="22">
        <v>34</v>
      </c>
      <c r="F110" s="22">
        <v>35</v>
      </c>
      <c r="G110" s="3">
        <v>33</v>
      </c>
      <c r="H110" s="3">
        <v>34</v>
      </c>
      <c r="I110" s="3">
        <v>33</v>
      </c>
      <c r="J110" s="3">
        <v>34</v>
      </c>
      <c r="K110" s="3">
        <v>35</v>
      </c>
      <c r="L110" s="535">
        <v>32</v>
      </c>
    </row>
    <row r="111" spans="1:12">
      <c r="A111" s="3">
        <v>482</v>
      </c>
      <c r="B111" s="3" t="s">
        <v>101</v>
      </c>
      <c r="C111" s="22">
        <v>16</v>
      </c>
      <c r="D111" s="22">
        <v>14</v>
      </c>
      <c r="E111" s="22">
        <v>13</v>
      </c>
      <c r="F111" s="22">
        <v>11</v>
      </c>
      <c r="G111" s="3">
        <v>9</v>
      </c>
      <c r="H111" s="3">
        <v>12</v>
      </c>
      <c r="I111" s="3">
        <v>12</v>
      </c>
      <c r="J111" s="3">
        <v>10</v>
      </c>
      <c r="K111" s="3">
        <v>11</v>
      </c>
      <c r="L111" s="535">
        <v>12</v>
      </c>
    </row>
    <row r="112" spans="1:12">
      <c r="A112" s="3">
        <v>483</v>
      </c>
      <c r="B112" s="3" t="s">
        <v>102</v>
      </c>
      <c r="C112" s="22">
        <v>13</v>
      </c>
      <c r="D112" s="22">
        <v>7</v>
      </c>
      <c r="E112" s="22">
        <v>10</v>
      </c>
      <c r="F112" s="22">
        <v>10</v>
      </c>
      <c r="G112" s="3">
        <v>10</v>
      </c>
      <c r="H112" s="3">
        <v>9</v>
      </c>
      <c r="I112" s="3">
        <v>9</v>
      </c>
      <c r="J112" s="3">
        <v>6</v>
      </c>
      <c r="K112" s="3">
        <v>11</v>
      </c>
      <c r="L112" s="535">
        <v>12</v>
      </c>
    </row>
    <row r="113" spans="1:12">
      <c r="A113" s="3">
        <v>484</v>
      </c>
      <c r="B113" s="3" t="s">
        <v>103</v>
      </c>
      <c r="C113" s="22">
        <v>19</v>
      </c>
      <c r="D113" s="22">
        <v>21</v>
      </c>
      <c r="E113" s="22">
        <v>21</v>
      </c>
      <c r="F113" s="22">
        <v>21</v>
      </c>
      <c r="G113" s="3">
        <v>18</v>
      </c>
      <c r="H113" s="3">
        <v>18</v>
      </c>
      <c r="I113" s="3">
        <v>18</v>
      </c>
      <c r="J113" s="3">
        <v>3</v>
      </c>
      <c r="K113" s="3">
        <v>13</v>
      </c>
      <c r="L113" s="535">
        <v>16</v>
      </c>
    </row>
    <row r="114" spans="1:12">
      <c r="A114" s="3">
        <v>490</v>
      </c>
      <c r="B114" s="3" t="s">
        <v>104</v>
      </c>
      <c r="C114" s="22">
        <v>53</v>
      </c>
      <c r="D114" s="22">
        <v>49</v>
      </c>
      <c r="E114" s="22">
        <v>53</v>
      </c>
      <c r="F114" s="22">
        <v>53</v>
      </c>
      <c r="G114" s="3">
        <v>48</v>
      </c>
      <c r="H114" s="3">
        <v>47</v>
      </c>
      <c r="I114" s="3">
        <v>50</v>
      </c>
      <c r="J114" s="3">
        <v>36</v>
      </c>
      <c r="K114" s="3">
        <v>35</v>
      </c>
      <c r="L114" s="535">
        <v>34</v>
      </c>
    </row>
    <row r="115" spans="1:12">
      <c r="A115" s="3">
        <v>500</v>
      </c>
      <c r="B115" s="3" t="s">
        <v>105</v>
      </c>
      <c r="C115" s="22">
        <v>21</v>
      </c>
      <c r="D115" s="22">
        <v>20</v>
      </c>
      <c r="E115" s="22">
        <v>20</v>
      </c>
      <c r="F115" s="22">
        <v>21</v>
      </c>
      <c r="G115" s="3">
        <v>19</v>
      </c>
      <c r="H115" s="3">
        <v>20</v>
      </c>
      <c r="I115" s="3">
        <v>19</v>
      </c>
      <c r="J115" s="3">
        <v>17</v>
      </c>
      <c r="K115" s="3">
        <v>27</v>
      </c>
      <c r="L115" s="535">
        <v>27</v>
      </c>
    </row>
    <row r="116" spans="1:12">
      <c r="A116" s="3">
        <v>501</v>
      </c>
      <c r="B116" s="3" t="s">
        <v>106</v>
      </c>
      <c r="C116" s="22">
        <v>48</v>
      </c>
      <c r="D116" s="22">
        <v>56</v>
      </c>
      <c r="E116" s="22">
        <v>57</v>
      </c>
      <c r="F116" s="22">
        <v>57</v>
      </c>
      <c r="G116" s="3">
        <v>54</v>
      </c>
      <c r="H116" s="3">
        <v>54</v>
      </c>
      <c r="I116" s="3">
        <v>53</v>
      </c>
      <c r="J116" s="3">
        <v>52</v>
      </c>
      <c r="K116" s="3">
        <v>54</v>
      </c>
      <c r="L116" s="535">
        <v>63</v>
      </c>
    </row>
    <row r="117" spans="1:12">
      <c r="A117" s="3">
        <v>510</v>
      </c>
      <c r="B117" s="3" t="s">
        <v>107</v>
      </c>
      <c r="C117" s="22">
        <v>44</v>
      </c>
      <c r="D117" s="22">
        <v>51</v>
      </c>
      <c r="E117" s="22">
        <v>47</v>
      </c>
      <c r="F117" s="22">
        <v>43</v>
      </c>
      <c r="G117" s="3">
        <v>40</v>
      </c>
      <c r="H117" s="3">
        <v>39</v>
      </c>
      <c r="I117" s="3">
        <v>41</v>
      </c>
      <c r="J117" s="3">
        <v>40</v>
      </c>
      <c r="K117" s="3">
        <v>38</v>
      </c>
      <c r="L117" s="535">
        <v>34</v>
      </c>
    </row>
    <row r="118" spans="1:12">
      <c r="A118" s="3">
        <v>516</v>
      </c>
      <c r="B118" s="3" t="s">
        <v>108</v>
      </c>
      <c r="C118" s="22">
        <v>12</v>
      </c>
      <c r="D118" s="22">
        <v>10</v>
      </c>
      <c r="E118" s="22">
        <v>12</v>
      </c>
      <c r="F118" s="22">
        <v>12</v>
      </c>
      <c r="G118" s="3">
        <v>11</v>
      </c>
      <c r="H118" s="3">
        <v>10</v>
      </c>
      <c r="I118" s="3">
        <v>11</v>
      </c>
      <c r="J118" s="3">
        <v>10</v>
      </c>
      <c r="K118" s="3">
        <v>10</v>
      </c>
      <c r="L118" s="535">
        <v>12</v>
      </c>
    </row>
    <row r="119" spans="1:12">
      <c r="A119" s="3">
        <v>517</v>
      </c>
      <c r="B119" s="3" t="s">
        <v>109</v>
      </c>
      <c r="C119" s="22">
        <v>9</v>
      </c>
      <c r="D119" s="22">
        <v>12</v>
      </c>
      <c r="E119" s="22">
        <v>13</v>
      </c>
      <c r="F119" s="22">
        <v>14</v>
      </c>
      <c r="G119" s="3">
        <v>12</v>
      </c>
      <c r="H119" s="3">
        <v>11</v>
      </c>
      <c r="I119" s="3">
        <v>12</v>
      </c>
      <c r="J119" s="3">
        <v>12</v>
      </c>
      <c r="K119" s="3">
        <v>10</v>
      </c>
      <c r="L119" s="535">
        <v>11</v>
      </c>
    </row>
    <row r="120" spans="1:12">
      <c r="A120" s="3">
        <v>520</v>
      </c>
      <c r="B120" s="3" t="s">
        <v>110</v>
      </c>
      <c r="C120" s="22">
        <v>18</v>
      </c>
      <c r="D120" s="22">
        <v>21</v>
      </c>
      <c r="E120" s="22">
        <v>21</v>
      </c>
      <c r="F120" s="22">
        <v>21</v>
      </c>
      <c r="G120" s="3">
        <v>1</v>
      </c>
      <c r="H120" s="3">
        <v>19</v>
      </c>
      <c r="I120" s="3">
        <v>2</v>
      </c>
      <c r="J120" s="3">
        <v>1</v>
      </c>
      <c r="K120" s="3">
        <v>5</v>
      </c>
      <c r="L120" s="535">
        <v>3</v>
      </c>
    </row>
    <row r="121" spans="1:12">
      <c r="A121" s="3">
        <v>522</v>
      </c>
      <c r="B121" s="3" t="s">
        <v>111</v>
      </c>
      <c r="C121" s="22">
        <v>12</v>
      </c>
      <c r="D121" s="22">
        <v>11</v>
      </c>
      <c r="E121" s="22">
        <v>11</v>
      </c>
      <c r="F121" s="22">
        <v>12</v>
      </c>
      <c r="G121" s="3">
        <v>12</v>
      </c>
      <c r="H121" s="3">
        <v>12</v>
      </c>
      <c r="I121" s="3">
        <v>12</v>
      </c>
      <c r="J121" s="3">
        <v>12</v>
      </c>
      <c r="K121" s="3">
        <v>13</v>
      </c>
      <c r="L121" s="535">
        <v>14</v>
      </c>
    </row>
    <row r="122" spans="1:12">
      <c r="A122" s="3">
        <v>530</v>
      </c>
      <c r="B122" s="3" t="s">
        <v>112</v>
      </c>
      <c r="C122" s="22">
        <v>49</v>
      </c>
      <c r="D122" s="22">
        <v>54</v>
      </c>
      <c r="E122" s="22">
        <v>56</v>
      </c>
      <c r="F122" s="22">
        <v>62</v>
      </c>
      <c r="G122" s="3">
        <v>56</v>
      </c>
      <c r="H122" s="3">
        <v>57</v>
      </c>
      <c r="I122" s="3">
        <v>72</v>
      </c>
      <c r="J122" s="3">
        <v>69</v>
      </c>
      <c r="K122" s="3">
        <v>70</v>
      </c>
      <c r="L122" s="535">
        <v>77</v>
      </c>
    </row>
    <row r="123" spans="1:12">
      <c r="A123" s="3">
        <v>531</v>
      </c>
      <c r="B123" s="3" t="s">
        <v>113</v>
      </c>
      <c r="C123" s="534" t="s">
        <v>194</v>
      </c>
      <c r="D123" s="534" t="s">
        <v>194</v>
      </c>
      <c r="E123" s="534" t="s">
        <v>194</v>
      </c>
      <c r="F123" s="534" t="s">
        <v>194</v>
      </c>
      <c r="G123" s="534" t="s">
        <v>194</v>
      </c>
      <c r="H123" s="3">
        <v>8</v>
      </c>
      <c r="I123" s="3">
        <v>6</v>
      </c>
      <c r="J123" s="3">
        <v>9</v>
      </c>
      <c r="K123" s="3">
        <v>15</v>
      </c>
      <c r="L123" s="535">
        <v>16</v>
      </c>
    </row>
    <row r="124" spans="1:12">
      <c r="A124" s="3">
        <v>540</v>
      </c>
      <c r="B124" s="3" t="s">
        <v>114</v>
      </c>
      <c r="C124" s="22">
        <v>15</v>
      </c>
      <c r="D124" s="22">
        <v>35</v>
      </c>
      <c r="E124" s="22">
        <v>33</v>
      </c>
      <c r="F124" s="22">
        <v>35</v>
      </c>
      <c r="G124" s="3">
        <v>34</v>
      </c>
      <c r="H124" s="3">
        <v>35</v>
      </c>
      <c r="I124" s="3">
        <v>33</v>
      </c>
      <c r="J124" s="3">
        <v>35</v>
      </c>
      <c r="K124" s="3">
        <v>40</v>
      </c>
      <c r="L124" s="535">
        <v>41</v>
      </c>
    </row>
    <row r="125" spans="1:12">
      <c r="A125" s="3">
        <v>541</v>
      </c>
      <c r="B125" s="3" t="s">
        <v>115</v>
      </c>
      <c r="C125" s="22">
        <v>31</v>
      </c>
      <c r="D125" s="22">
        <v>37</v>
      </c>
      <c r="E125" s="22">
        <v>35</v>
      </c>
      <c r="F125" s="22">
        <v>36</v>
      </c>
      <c r="G125" s="3">
        <v>37</v>
      </c>
      <c r="H125" s="3">
        <v>35</v>
      </c>
      <c r="I125" s="3">
        <v>32</v>
      </c>
      <c r="J125" s="3">
        <v>31</v>
      </c>
      <c r="K125" s="3">
        <v>35</v>
      </c>
      <c r="L125" s="535">
        <v>31</v>
      </c>
    </row>
    <row r="126" spans="1:12">
      <c r="A126" s="3">
        <v>551</v>
      </c>
      <c r="B126" s="3" t="s">
        <v>116</v>
      </c>
      <c r="C126" s="22">
        <v>32</v>
      </c>
      <c r="D126" s="22">
        <v>37</v>
      </c>
      <c r="E126" s="22">
        <v>39</v>
      </c>
      <c r="F126" s="22">
        <v>36</v>
      </c>
      <c r="G126" s="3">
        <v>34</v>
      </c>
      <c r="H126" s="3">
        <v>30</v>
      </c>
      <c r="I126" s="3">
        <v>33</v>
      </c>
      <c r="J126" s="3">
        <v>30</v>
      </c>
      <c r="K126" s="3">
        <v>28</v>
      </c>
      <c r="L126" s="535">
        <v>34</v>
      </c>
    </row>
    <row r="127" spans="1:12">
      <c r="A127" s="3">
        <v>552</v>
      </c>
      <c r="B127" s="3" t="s">
        <v>117</v>
      </c>
      <c r="C127" s="22">
        <v>4</v>
      </c>
      <c r="D127" s="22">
        <v>37</v>
      </c>
      <c r="E127" s="22">
        <v>54</v>
      </c>
      <c r="F127" s="22">
        <v>51</v>
      </c>
      <c r="G127" s="3">
        <v>51</v>
      </c>
      <c r="H127" s="3">
        <v>51</v>
      </c>
      <c r="I127" s="3">
        <v>52</v>
      </c>
      <c r="J127" s="3">
        <v>51</v>
      </c>
      <c r="K127" s="3">
        <v>49</v>
      </c>
      <c r="L127" s="535">
        <v>45</v>
      </c>
    </row>
    <row r="128" spans="1:12">
      <c r="A128" s="3">
        <v>553</v>
      </c>
      <c r="B128" s="3" t="s">
        <v>118</v>
      </c>
      <c r="C128" s="22">
        <v>9</v>
      </c>
      <c r="D128" s="22">
        <v>13</v>
      </c>
      <c r="E128" s="22">
        <v>13</v>
      </c>
      <c r="F128" s="22">
        <v>12</v>
      </c>
      <c r="G128" s="3">
        <v>12</v>
      </c>
      <c r="H128" s="3">
        <v>12</v>
      </c>
      <c r="I128" s="3">
        <v>11</v>
      </c>
      <c r="J128" s="3">
        <v>11</v>
      </c>
      <c r="K128" s="3">
        <v>8</v>
      </c>
      <c r="L128" s="535">
        <v>10</v>
      </c>
    </row>
    <row r="129" spans="1:12">
      <c r="A129" s="3">
        <v>560</v>
      </c>
      <c r="B129" s="3" t="s">
        <v>119</v>
      </c>
      <c r="C129" s="22">
        <v>17</v>
      </c>
      <c r="D129" s="22">
        <v>19</v>
      </c>
      <c r="E129" s="22">
        <v>18</v>
      </c>
      <c r="F129" s="22">
        <v>20</v>
      </c>
      <c r="G129" s="3">
        <v>26</v>
      </c>
      <c r="H129" s="3">
        <v>43</v>
      </c>
      <c r="I129" s="3">
        <v>81</v>
      </c>
      <c r="J129" s="3">
        <v>81</v>
      </c>
      <c r="K129" s="3">
        <v>98</v>
      </c>
      <c r="L129" s="535">
        <v>100</v>
      </c>
    </row>
    <row r="130" spans="1:12">
      <c r="A130" s="3">
        <v>565</v>
      </c>
      <c r="B130" s="3" t="s">
        <v>120</v>
      </c>
      <c r="C130" s="534" t="s">
        <v>194</v>
      </c>
      <c r="D130" s="534" t="s">
        <v>194</v>
      </c>
      <c r="E130" s="534" t="s">
        <v>194</v>
      </c>
      <c r="F130" s="22">
        <v>0</v>
      </c>
      <c r="G130" s="3">
        <v>28</v>
      </c>
      <c r="H130" s="3">
        <v>27</v>
      </c>
      <c r="I130" s="3">
        <v>29</v>
      </c>
      <c r="J130" s="3">
        <v>23</v>
      </c>
      <c r="K130" s="3">
        <v>25</v>
      </c>
      <c r="L130" s="535">
        <v>24</v>
      </c>
    </row>
    <row r="131" spans="1:12">
      <c r="A131" s="3">
        <v>570</v>
      </c>
      <c r="B131" s="3" t="s">
        <v>121</v>
      </c>
      <c r="C131" s="22">
        <v>4</v>
      </c>
      <c r="D131" s="22">
        <v>5</v>
      </c>
      <c r="E131" s="22">
        <v>5</v>
      </c>
      <c r="F131" s="22">
        <v>5</v>
      </c>
      <c r="G131" s="3">
        <v>3</v>
      </c>
      <c r="H131" s="3">
        <v>4</v>
      </c>
      <c r="I131" s="3">
        <v>6</v>
      </c>
      <c r="J131" s="3">
        <v>6</v>
      </c>
      <c r="K131" s="3">
        <v>6</v>
      </c>
      <c r="L131" s="535">
        <v>5</v>
      </c>
    </row>
    <row r="132" spans="1:12">
      <c r="A132" s="3">
        <v>571</v>
      </c>
      <c r="B132" s="3" t="s">
        <v>122</v>
      </c>
      <c r="C132" s="22">
        <v>9</v>
      </c>
      <c r="D132" s="22">
        <v>11</v>
      </c>
      <c r="E132" s="22">
        <v>13</v>
      </c>
      <c r="F132" s="22">
        <v>13</v>
      </c>
      <c r="G132" s="3">
        <v>12</v>
      </c>
      <c r="H132" s="3">
        <v>11</v>
      </c>
      <c r="I132" s="3">
        <v>13</v>
      </c>
      <c r="J132" s="3">
        <v>12</v>
      </c>
      <c r="K132" s="3">
        <v>16</v>
      </c>
      <c r="L132" s="535">
        <v>17</v>
      </c>
    </row>
    <row r="133" spans="1:12">
      <c r="A133" s="3">
        <v>572</v>
      </c>
      <c r="B133" s="3" t="s">
        <v>123</v>
      </c>
      <c r="C133" s="22">
        <v>4</v>
      </c>
      <c r="D133" s="22">
        <v>4</v>
      </c>
      <c r="E133" s="22">
        <v>5</v>
      </c>
      <c r="F133" s="22">
        <v>4</v>
      </c>
      <c r="G133" s="3">
        <v>5</v>
      </c>
      <c r="H133" s="3">
        <v>4</v>
      </c>
      <c r="I133" s="3">
        <v>5</v>
      </c>
      <c r="J133" s="3">
        <v>5</v>
      </c>
      <c r="K133" s="3">
        <v>4</v>
      </c>
      <c r="L133" s="535">
        <v>4</v>
      </c>
    </row>
    <row r="134" spans="1:12">
      <c r="A134" s="3">
        <v>580</v>
      </c>
      <c r="B134" s="3" t="s">
        <v>124</v>
      </c>
      <c r="C134" s="22">
        <v>14</v>
      </c>
      <c r="D134" s="22">
        <v>19</v>
      </c>
      <c r="E134" s="22">
        <v>15</v>
      </c>
      <c r="F134" s="22">
        <v>15</v>
      </c>
      <c r="G134" s="3">
        <v>14</v>
      </c>
      <c r="H134" s="3">
        <v>13</v>
      </c>
      <c r="I134" s="3">
        <v>13</v>
      </c>
      <c r="J134" s="3">
        <v>13</v>
      </c>
      <c r="K134" s="3">
        <v>15</v>
      </c>
      <c r="L134" s="535">
        <v>17</v>
      </c>
    </row>
    <row r="135" spans="1:12">
      <c r="A135" s="3">
        <v>581</v>
      </c>
      <c r="B135" s="3" t="s">
        <v>125</v>
      </c>
      <c r="C135" s="22">
        <v>2</v>
      </c>
      <c r="D135" s="22">
        <v>2</v>
      </c>
      <c r="E135" s="22">
        <v>2</v>
      </c>
      <c r="F135" s="22">
        <v>3</v>
      </c>
      <c r="G135" s="3">
        <v>3</v>
      </c>
      <c r="H135" s="3">
        <v>5</v>
      </c>
      <c r="I135" s="3">
        <v>3</v>
      </c>
      <c r="J135" s="3">
        <v>3</v>
      </c>
      <c r="K135" s="3">
        <v>3</v>
      </c>
      <c r="L135" s="535">
        <v>3</v>
      </c>
    </row>
    <row r="136" spans="1:12">
      <c r="A136" s="3">
        <v>590</v>
      </c>
      <c r="B136" s="3" t="s">
        <v>126</v>
      </c>
      <c r="C136" s="22">
        <v>9</v>
      </c>
      <c r="D136" s="22">
        <v>9</v>
      </c>
      <c r="E136" s="22">
        <v>9</v>
      </c>
      <c r="F136" s="22">
        <v>9</v>
      </c>
      <c r="G136" s="3">
        <v>9</v>
      </c>
      <c r="H136" s="3">
        <v>11</v>
      </c>
      <c r="I136" s="3">
        <v>11</v>
      </c>
      <c r="J136" s="3">
        <v>11</v>
      </c>
      <c r="K136" s="3">
        <v>11</v>
      </c>
      <c r="L136" s="535">
        <v>11</v>
      </c>
    </row>
    <row r="137" spans="1:12">
      <c r="A137" s="3">
        <v>591</v>
      </c>
      <c r="B137" s="3" t="s">
        <v>127</v>
      </c>
      <c r="C137" s="22">
        <v>4</v>
      </c>
      <c r="D137" s="22">
        <v>6</v>
      </c>
      <c r="E137" s="22">
        <v>6</v>
      </c>
      <c r="F137" s="22">
        <v>7</v>
      </c>
      <c r="G137" s="3">
        <v>5</v>
      </c>
      <c r="H137" s="3">
        <v>5</v>
      </c>
      <c r="I137" s="3">
        <v>5</v>
      </c>
      <c r="J137" s="3">
        <v>5</v>
      </c>
      <c r="K137" s="3">
        <v>6</v>
      </c>
      <c r="L137" s="535">
        <v>5</v>
      </c>
    </row>
    <row r="138" spans="1:12">
      <c r="A138" s="3">
        <v>600</v>
      </c>
      <c r="B138" s="3" t="s">
        <v>128</v>
      </c>
      <c r="C138" s="22">
        <v>53</v>
      </c>
      <c r="D138" s="22">
        <v>51</v>
      </c>
      <c r="E138" s="22">
        <v>54</v>
      </c>
      <c r="F138" s="22">
        <v>55</v>
      </c>
      <c r="G138" s="3">
        <v>55</v>
      </c>
      <c r="H138" s="3">
        <v>55</v>
      </c>
      <c r="I138" s="3">
        <v>55</v>
      </c>
      <c r="J138" s="3">
        <v>67</v>
      </c>
      <c r="K138" s="3">
        <v>76</v>
      </c>
      <c r="L138" s="535">
        <v>73</v>
      </c>
    </row>
    <row r="139" spans="1:12">
      <c r="A139" s="3">
        <v>615</v>
      </c>
      <c r="B139" s="3" t="s">
        <v>129</v>
      </c>
      <c r="C139" s="22">
        <v>75</v>
      </c>
      <c r="D139" s="22">
        <v>73</v>
      </c>
      <c r="E139" s="22">
        <v>76</v>
      </c>
      <c r="F139" s="22">
        <v>75</v>
      </c>
      <c r="G139" s="3">
        <v>74</v>
      </c>
      <c r="H139" s="3">
        <v>69</v>
      </c>
      <c r="I139" s="3">
        <v>64</v>
      </c>
      <c r="J139" s="3">
        <v>61</v>
      </c>
      <c r="K139" s="3">
        <v>64</v>
      </c>
      <c r="L139" s="535">
        <v>72</v>
      </c>
    </row>
    <row r="140" spans="1:12">
      <c r="A140" s="3">
        <v>616</v>
      </c>
      <c r="B140" s="3" t="s">
        <v>130</v>
      </c>
      <c r="C140" s="22">
        <v>46</v>
      </c>
      <c r="D140" s="22">
        <v>48</v>
      </c>
      <c r="E140" s="22">
        <v>56</v>
      </c>
      <c r="F140" s="22">
        <v>55</v>
      </c>
      <c r="G140" s="3">
        <v>48</v>
      </c>
      <c r="H140" s="3">
        <v>51</v>
      </c>
      <c r="I140" s="3">
        <v>52</v>
      </c>
      <c r="J140" s="3">
        <v>51</v>
      </c>
      <c r="K140" s="3">
        <v>53</v>
      </c>
      <c r="L140" s="535">
        <v>54</v>
      </c>
    </row>
    <row r="141" spans="1:12">
      <c r="A141" s="3">
        <v>620</v>
      </c>
      <c r="B141" s="3" t="s">
        <v>131</v>
      </c>
      <c r="C141" s="22">
        <v>59</v>
      </c>
      <c r="D141" s="22">
        <v>51</v>
      </c>
      <c r="E141" s="22">
        <v>49</v>
      </c>
      <c r="F141" s="22">
        <v>51</v>
      </c>
      <c r="G141" s="3">
        <v>50</v>
      </c>
      <c r="H141" s="3">
        <v>44</v>
      </c>
      <c r="I141" s="3">
        <v>47</v>
      </c>
      <c r="J141" s="3">
        <v>50</v>
      </c>
      <c r="K141" s="3">
        <v>60</v>
      </c>
      <c r="L141" s="535">
        <v>65</v>
      </c>
    </row>
    <row r="142" spans="1:12">
      <c r="A142" s="3">
        <v>625</v>
      </c>
      <c r="B142" s="3" t="s">
        <v>132</v>
      </c>
      <c r="C142" s="22">
        <v>39</v>
      </c>
      <c r="D142" s="22">
        <v>36</v>
      </c>
      <c r="E142" s="22">
        <v>39</v>
      </c>
      <c r="F142" s="22">
        <v>39</v>
      </c>
      <c r="G142" s="3">
        <v>32</v>
      </c>
      <c r="H142" s="3">
        <v>33</v>
      </c>
      <c r="I142" s="3">
        <v>30</v>
      </c>
      <c r="J142" s="3">
        <v>29</v>
      </c>
      <c r="K142" s="3">
        <v>34</v>
      </c>
      <c r="L142" s="535">
        <v>41</v>
      </c>
    </row>
    <row r="143" spans="1:12">
      <c r="A143" s="3">
        <v>630</v>
      </c>
      <c r="B143" s="3" t="s">
        <v>133</v>
      </c>
      <c r="C143" s="22">
        <v>58</v>
      </c>
      <c r="D143" s="22">
        <v>39</v>
      </c>
      <c r="E143" s="22">
        <v>43</v>
      </c>
      <c r="F143" s="22">
        <v>44</v>
      </c>
      <c r="G143" s="3">
        <v>69</v>
      </c>
      <c r="H143" s="3">
        <v>75</v>
      </c>
      <c r="I143" s="3">
        <v>75</v>
      </c>
      <c r="J143" s="3">
        <v>75</v>
      </c>
      <c r="K143" s="3">
        <v>79</v>
      </c>
      <c r="L143" s="535">
        <v>80</v>
      </c>
    </row>
    <row r="144" spans="1:12">
      <c r="A144" s="3">
        <v>640</v>
      </c>
      <c r="B144" s="3" t="s">
        <v>134</v>
      </c>
      <c r="C144" s="22">
        <v>50</v>
      </c>
      <c r="D144" s="22">
        <v>50</v>
      </c>
      <c r="E144" s="22">
        <v>49</v>
      </c>
      <c r="F144" s="22">
        <v>51</v>
      </c>
      <c r="G144" s="3">
        <v>53</v>
      </c>
      <c r="H144" s="3">
        <v>63</v>
      </c>
      <c r="I144" s="3">
        <v>67</v>
      </c>
      <c r="J144" s="3">
        <v>73</v>
      </c>
      <c r="K144" s="3">
        <v>74</v>
      </c>
      <c r="L144" s="535">
        <v>83</v>
      </c>
    </row>
    <row r="145" spans="1:12">
      <c r="A145" s="3">
        <v>645</v>
      </c>
      <c r="B145" s="3" t="s">
        <v>135</v>
      </c>
      <c r="C145" s="22">
        <v>54</v>
      </c>
      <c r="D145" s="22">
        <v>61</v>
      </c>
      <c r="E145" s="22">
        <v>66</v>
      </c>
      <c r="F145" s="22">
        <v>67</v>
      </c>
      <c r="G145" s="3">
        <v>59</v>
      </c>
      <c r="H145" s="3">
        <v>58</v>
      </c>
      <c r="I145" s="3">
        <v>53</v>
      </c>
      <c r="J145" s="3">
        <v>45</v>
      </c>
      <c r="K145" s="3">
        <v>30</v>
      </c>
      <c r="L145" s="535">
        <v>28</v>
      </c>
    </row>
    <row r="146" spans="1:12">
      <c r="A146" s="3">
        <v>651</v>
      </c>
      <c r="B146" s="3" t="s">
        <v>136</v>
      </c>
      <c r="C146" s="22">
        <v>80</v>
      </c>
      <c r="D146" s="22">
        <v>82</v>
      </c>
      <c r="E146" s="22">
        <v>84</v>
      </c>
      <c r="F146" s="22">
        <v>90</v>
      </c>
      <c r="G146" s="3">
        <v>93</v>
      </c>
      <c r="H146" s="3">
        <v>93</v>
      </c>
      <c r="I146" s="3">
        <v>99</v>
      </c>
      <c r="J146" s="3">
        <v>107</v>
      </c>
      <c r="K146" s="3">
        <v>119</v>
      </c>
      <c r="L146" s="535">
        <v>119</v>
      </c>
    </row>
    <row r="147" spans="1:12">
      <c r="A147" s="3">
        <v>652</v>
      </c>
      <c r="B147" s="3" t="s">
        <v>137</v>
      </c>
      <c r="C147" s="22">
        <v>47</v>
      </c>
      <c r="D147" s="22">
        <v>47</v>
      </c>
      <c r="E147" s="22">
        <v>49</v>
      </c>
      <c r="F147" s="22">
        <v>49</v>
      </c>
      <c r="G147" s="3">
        <v>51</v>
      </c>
      <c r="H147" s="3">
        <v>49</v>
      </c>
      <c r="I147" s="3">
        <v>50</v>
      </c>
      <c r="J147" s="3">
        <v>50</v>
      </c>
      <c r="K147" s="3">
        <v>52</v>
      </c>
      <c r="L147" s="535">
        <v>60</v>
      </c>
    </row>
    <row r="148" spans="1:12">
      <c r="A148" s="3">
        <v>660</v>
      </c>
      <c r="B148" s="3" t="s">
        <v>138</v>
      </c>
      <c r="C148" s="22">
        <v>52</v>
      </c>
      <c r="D148" s="22">
        <v>46</v>
      </c>
      <c r="E148" s="22">
        <v>39</v>
      </c>
      <c r="F148" s="22">
        <v>38</v>
      </c>
      <c r="G148" s="3">
        <v>39</v>
      </c>
      <c r="H148" s="3">
        <v>43</v>
      </c>
      <c r="I148" s="3">
        <v>40</v>
      </c>
      <c r="J148" s="3">
        <v>44</v>
      </c>
      <c r="K148" s="3">
        <v>52</v>
      </c>
      <c r="L148" s="535">
        <v>53</v>
      </c>
    </row>
    <row r="149" spans="1:12">
      <c r="A149" s="3">
        <v>663</v>
      </c>
      <c r="B149" s="3" t="s">
        <v>139</v>
      </c>
      <c r="C149" s="22">
        <v>35</v>
      </c>
      <c r="D149" s="22">
        <v>42</v>
      </c>
      <c r="E149" s="22">
        <v>38</v>
      </c>
      <c r="F149" s="22">
        <v>42</v>
      </c>
      <c r="G149" s="3">
        <v>41</v>
      </c>
      <c r="H149" s="3">
        <v>39</v>
      </c>
      <c r="I149" s="3">
        <v>39</v>
      </c>
      <c r="J149" s="3">
        <v>44</v>
      </c>
      <c r="K149" s="3">
        <v>56</v>
      </c>
      <c r="L149" s="535">
        <v>63</v>
      </c>
    </row>
    <row r="150" spans="1:12">
      <c r="A150" s="3">
        <v>666</v>
      </c>
      <c r="B150" s="3" t="s">
        <v>140</v>
      </c>
      <c r="C150" s="22">
        <v>36</v>
      </c>
      <c r="D150" s="22">
        <v>36</v>
      </c>
      <c r="E150" s="22">
        <v>43</v>
      </c>
      <c r="F150" s="22">
        <v>42</v>
      </c>
      <c r="G150" s="3">
        <v>45</v>
      </c>
      <c r="H150" s="3">
        <v>51</v>
      </c>
      <c r="I150" s="3">
        <v>56</v>
      </c>
      <c r="J150" s="3">
        <v>56</v>
      </c>
      <c r="K150" s="3">
        <v>68</v>
      </c>
      <c r="L150" s="535">
        <v>71</v>
      </c>
    </row>
    <row r="151" spans="1:12">
      <c r="A151" s="3">
        <v>670</v>
      </c>
      <c r="B151" s="3" t="s">
        <v>141</v>
      </c>
      <c r="C151" s="22">
        <v>60</v>
      </c>
      <c r="D151" s="22">
        <v>67</v>
      </c>
      <c r="E151" s="22">
        <v>74</v>
      </c>
      <c r="F151" s="22">
        <v>73</v>
      </c>
      <c r="G151" s="3">
        <v>72</v>
      </c>
      <c r="H151" s="3">
        <v>76</v>
      </c>
      <c r="I151" s="3">
        <v>73</v>
      </c>
      <c r="J151" s="3">
        <v>76</v>
      </c>
      <c r="K151" s="3">
        <v>81</v>
      </c>
      <c r="L151" s="535">
        <v>93</v>
      </c>
    </row>
    <row r="152" spans="1:12">
      <c r="A152" s="3">
        <v>679</v>
      </c>
      <c r="B152" s="3" t="s">
        <v>142</v>
      </c>
      <c r="C152" s="22">
        <v>23</v>
      </c>
      <c r="D152" s="22">
        <v>25</v>
      </c>
      <c r="E152" s="22">
        <v>26</v>
      </c>
      <c r="F152" s="534">
        <v>27</v>
      </c>
      <c r="G152" s="3">
        <v>24</v>
      </c>
      <c r="H152" s="3">
        <v>34</v>
      </c>
      <c r="I152" s="3">
        <v>33</v>
      </c>
      <c r="J152" s="3">
        <v>35</v>
      </c>
      <c r="K152" s="3">
        <v>37</v>
      </c>
      <c r="L152" s="535">
        <v>38</v>
      </c>
    </row>
    <row r="153" spans="1:12" s="532" customFormat="1">
      <c r="A153" s="22">
        <v>680</v>
      </c>
      <c r="B153" s="22" t="s">
        <v>405</v>
      </c>
      <c r="C153" s="22">
        <v>14</v>
      </c>
      <c r="D153" s="22">
        <v>18</v>
      </c>
      <c r="E153" s="22">
        <v>20</v>
      </c>
      <c r="F153" s="534" t="s">
        <v>194</v>
      </c>
      <c r="G153" s="534" t="s">
        <v>194</v>
      </c>
      <c r="H153" s="534" t="s">
        <v>194</v>
      </c>
      <c r="I153" s="534" t="s">
        <v>194</v>
      </c>
      <c r="J153" s="534" t="s">
        <v>194</v>
      </c>
      <c r="K153" s="534" t="s">
        <v>194</v>
      </c>
      <c r="L153" s="534" t="s">
        <v>194</v>
      </c>
    </row>
    <row r="154" spans="1:12">
      <c r="A154" s="3">
        <v>690</v>
      </c>
      <c r="B154" s="3" t="s">
        <v>143</v>
      </c>
      <c r="C154" s="22">
        <v>52</v>
      </c>
      <c r="D154" s="22">
        <v>56</v>
      </c>
      <c r="E154" s="22">
        <v>58</v>
      </c>
      <c r="F154" s="22">
        <v>61</v>
      </c>
      <c r="G154" s="3">
        <v>56</v>
      </c>
      <c r="H154" s="3">
        <v>53</v>
      </c>
      <c r="I154" s="3">
        <v>50</v>
      </c>
      <c r="J154" s="3">
        <v>54</v>
      </c>
      <c r="K154" s="3">
        <v>60</v>
      </c>
      <c r="L154" s="535">
        <v>61</v>
      </c>
    </row>
    <row r="155" spans="1:12">
      <c r="A155" s="3">
        <v>692</v>
      </c>
      <c r="B155" s="3" t="s">
        <v>144</v>
      </c>
      <c r="C155" s="22">
        <v>12</v>
      </c>
      <c r="D155" s="22">
        <v>12</v>
      </c>
      <c r="E155" s="22">
        <v>16</v>
      </c>
      <c r="F155" s="22">
        <v>15</v>
      </c>
      <c r="G155" s="3">
        <v>20</v>
      </c>
      <c r="H155" s="3">
        <v>20</v>
      </c>
      <c r="I155" s="3">
        <v>19</v>
      </c>
      <c r="J155" s="3">
        <v>23</v>
      </c>
      <c r="K155" s="3">
        <v>30</v>
      </c>
      <c r="L155" s="535">
        <v>33</v>
      </c>
    </row>
    <row r="156" spans="1:12">
      <c r="A156" s="3">
        <v>694</v>
      </c>
      <c r="B156" s="3" t="s">
        <v>145</v>
      </c>
      <c r="C156" s="22">
        <v>20</v>
      </c>
      <c r="D156" s="22">
        <v>21</v>
      </c>
      <c r="E156" s="22">
        <v>27</v>
      </c>
      <c r="F156" s="22">
        <v>25</v>
      </c>
      <c r="G156" s="3">
        <v>28</v>
      </c>
      <c r="H156" s="3">
        <v>30</v>
      </c>
      <c r="I156" s="3">
        <v>31</v>
      </c>
      <c r="J156" s="3">
        <v>32</v>
      </c>
      <c r="K156" s="3">
        <v>41</v>
      </c>
      <c r="L156" s="535">
        <v>55</v>
      </c>
    </row>
    <row r="157" spans="1:12">
      <c r="A157" s="3">
        <v>696</v>
      </c>
      <c r="B157" s="3" t="s">
        <v>146</v>
      </c>
      <c r="C157" s="22">
        <v>27</v>
      </c>
      <c r="D157" s="22">
        <v>31</v>
      </c>
      <c r="E157" s="22">
        <v>39</v>
      </c>
      <c r="F157" s="22">
        <v>38</v>
      </c>
      <c r="G157" s="3">
        <v>39</v>
      </c>
      <c r="H157" s="3">
        <v>47</v>
      </c>
      <c r="I157" s="3">
        <v>46</v>
      </c>
      <c r="J157" s="3">
        <v>51</v>
      </c>
      <c r="K157" s="3">
        <v>55</v>
      </c>
      <c r="L157" s="535">
        <v>65</v>
      </c>
    </row>
    <row r="158" spans="1:12">
      <c r="A158" s="3">
        <v>698</v>
      </c>
      <c r="B158" s="3" t="s">
        <v>147</v>
      </c>
      <c r="C158" s="22">
        <v>16</v>
      </c>
      <c r="D158" s="22">
        <v>18</v>
      </c>
      <c r="E158" s="22">
        <v>27</v>
      </c>
      <c r="F158" s="22">
        <v>30</v>
      </c>
      <c r="G158" s="3">
        <v>32</v>
      </c>
      <c r="H158" s="3">
        <v>32</v>
      </c>
      <c r="I158" s="3">
        <v>34</v>
      </c>
      <c r="J158" s="3">
        <v>36</v>
      </c>
      <c r="K158" s="3">
        <v>33</v>
      </c>
      <c r="L158" s="535">
        <v>39</v>
      </c>
    </row>
    <row r="159" spans="1:12">
      <c r="A159" s="3">
        <v>700</v>
      </c>
      <c r="B159" s="3" t="s">
        <v>148</v>
      </c>
      <c r="C159" s="22">
        <v>26</v>
      </c>
      <c r="D159" s="22">
        <v>12</v>
      </c>
      <c r="E159" s="22">
        <v>11</v>
      </c>
      <c r="F159" s="22">
        <v>11</v>
      </c>
      <c r="G159" s="3">
        <v>13</v>
      </c>
      <c r="H159" s="3">
        <v>15</v>
      </c>
      <c r="I159" s="3">
        <v>11</v>
      </c>
      <c r="J159" s="3">
        <v>11</v>
      </c>
      <c r="K159" s="3">
        <v>22</v>
      </c>
      <c r="L159" s="535">
        <v>27</v>
      </c>
    </row>
    <row r="160" spans="1:12">
      <c r="A160" s="3">
        <v>701</v>
      </c>
      <c r="B160" s="3" t="s">
        <v>149</v>
      </c>
      <c r="C160" s="534" t="s">
        <v>194</v>
      </c>
      <c r="D160" s="534" t="s">
        <v>194</v>
      </c>
      <c r="E160" s="534" t="s">
        <v>194</v>
      </c>
      <c r="F160" s="534" t="s">
        <v>194</v>
      </c>
      <c r="G160" s="3">
        <v>1</v>
      </c>
      <c r="H160" s="3">
        <v>3</v>
      </c>
      <c r="I160" s="3">
        <v>6</v>
      </c>
      <c r="J160" s="3">
        <v>7</v>
      </c>
      <c r="K160" s="3">
        <v>23</v>
      </c>
      <c r="L160" s="535">
        <v>22</v>
      </c>
    </row>
    <row r="161" spans="1:12">
      <c r="A161" s="3">
        <v>702</v>
      </c>
      <c r="B161" s="3" t="s">
        <v>150</v>
      </c>
      <c r="C161" s="534" t="s">
        <v>194</v>
      </c>
      <c r="D161" s="534" t="s">
        <v>194</v>
      </c>
      <c r="E161" s="534" t="s">
        <v>194</v>
      </c>
      <c r="F161" s="534" t="s">
        <v>194</v>
      </c>
      <c r="G161" s="3">
        <v>4</v>
      </c>
      <c r="H161" s="3">
        <v>3</v>
      </c>
      <c r="I161" s="3">
        <v>5</v>
      </c>
      <c r="J161" s="3">
        <v>9</v>
      </c>
      <c r="K161" s="3">
        <v>16</v>
      </c>
      <c r="L161" s="535">
        <v>18</v>
      </c>
    </row>
    <row r="162" spans="1:12">
      <c r="A162" s="3">
        <v>703</v>
      </c>
      <c r="B162" s="3" t="s">
        <v>151</v>
      </c>
      <c r="C162" s="534" t="s">
        <v>194</v>
      </c>
      <c r="D162" s="534" t="s">
        <v>194</v>
      </c>
      <c r="E162" s="534" t="s">
        <v>194</v>
      </c>
      <c r="F162" s="534" t="s">
        <v>194</v>
      </c>
      <c r="G162" s="3">
        <v>1</v>
      </c>
      <c r="H162" s="3">
        <v>7</v>
      </c>
      <c r="I162" s="3">
        <v>8</v>
      </c>
      <c r="J162" s="3">
        <v>8</v>
      </c>
      <c r="K162" s="3">
        <v>13</v>
      </c>
      <c r="L162" s="535">
        <v>15</v>
      </c>
    </row>
    <row r="163" spans="1:12">
      <c r="A163" s="3">
        <v>704</v>
      </c>
      <c r="B163" s="3" t="s">
        <v>152</v>
      </c>
      <c r="C163" s="534" t="s">
        <v>194</v>
      </c>
      <c r="D163" s="534" t="s">
        <v>194</v>
      </c>
      <c r="E163" s="534" t="s">
        <v>194</v>
      </c>
      <c r="F163" s="534" t="s">
        <v>194</v>
      </c>
      <c r="G163" s="3">
        <v>6</v>
      </c>
      <c r="H163" s="3">
        <v>14</v>
      </c>
      <c r="I163" s="3">
        <v>15</v>
      </c>
      <c r="J163" s="3">
        <v>19</v>
      </c>
      <c r="K163" s="3">
        <v>34</v>
      </c>
      <c r="L163" s="535">
        <v>35</v>
      </c>
    </row>
    <row r="164" spans="1:12">
      <c r="A164" s="3">
        <v>705</v>
      </c>
      <c r="B164" s="3" t="s">
        <v>153</v>
      </c>
      <c r="C164" s="534" t="s">
        <v>194</v>
      </c>
      <c r="D164" s="534" t="s">
        <v>194</v>
      </c>
      <c r="E164" s="534" t="s">
        <v>194</v>
      </c>
      <c r="F164" s="534" t="s">
        <v>194</v>
      </c>
      <c r="G164" s="3">
        <v>8</v>
      </c>
      <c r="H164" s="3">
        <v>24</v>
      </c>
      <c r="I164" s="3">
        <v>29</v>
      </c>
      <c r="J164" s="3">
        <v>31</v>
      </c>
      <c r="K164" s="3">
        <v>38</v>
      </c>
      <c r="L164" s="535">
        <v>50</v>
      </c>
    </row>
    <row r="165" spans="1:12">
      <c r="A165" s="3">
        <v>710</v>
      </c>
      <c r="B165" s="3" t="s">
        <v>154</v>
      </c>
      <c r="C165" s="22">
        <v>86</v>
      </c>
      <c r="D165" s="22">
        <v>98</v>
      </c>
      <c r="E165" s="22">
        <v>103</v>
      </c>
      <c r="F165" s="22">
        <v>101</v>
      </c>
      <c r="G165" s="3">
        <v>103</v>
      </c>
      <c r="H165" s="3">
        <v>107</v>
      </c>
      <c r="I165" s="3">
        <v>118</v>
      </c>
      <c r="J165" s="3">
        <v>124</v>
      </c>
      <c r="K165" s="3">
        <v>143</v>
      </c>
      <c r="L165" s="535">
        <v>153</v>
      </c>
    </row>
    <row r="166" spans="1:12">
      <c r="A166" s="3">
        <v>712</v>
      </c>
      <c r="B166" s="3" t="s">
        <v>155</v>
      </c>
      <c r="C166" s="22">
        <v>16</v>
      </c>
      <c r="D166" s="22">
        <v>17</v>
      </c>
      <c r="E166" s="22">
        <v>18</v>
      </c>
      <c r="F166" s="22">
        <v>17</v>
      </c>
      <c r="G166" s="3">
        <v>15</v>
      </c>
      <c r="H166" s="3">
        <v>13</v>
      </c>
      <c r="I166" s="3">
        <v>12</v>
      </c>
      <c r="J166" s="3">
        <v>13</v>
      </c>
      <c r="K166" s="3">
        <v>19</v>
      </c>
      <c r="L166" s="535">
        <v>18</v>
      </c>
    </row>
    <row r="167" spans="1:12">
      <c r="A167" s="3">
        <v>713</v>
      </c>
      <c r="B167" s="3" t="s">
        <v>156</v>
      </c>
      <c r="C167" s="22">
        <v>10</v>
      </c>
      <c r="D167" s="22">
        <v>10</v>
      </c>
      <c r="E167" s="22">
        <v>11</v>
      </c>
      <c r="F167" s="22">
        <v>15</v>
      </c>
      <c r="G167" s="3">
        <v>12</v>
      </c>
      <c r="H167" s="3">
        <v>10</v>
      </c>
      <c r="I167" s="3">
        <v>11</v>
      </c>
      <c r="J167" s="3">
        <v>13</v>
      </c>
      <c r="K167" s="3">
        <v>20</v>
      </c>
      <c r="L167" s="535">
        <v>15</v>
      </c>
    </row>
    <row r="168" spans="1:12">
      <c r="A168" s="3">
        <v>731</v>
      </c>
      <c r="B168" s="3" t="s">
        <v>157</v>
      </c>
      <c r="C168" s="22">
        <v>20</v>
      </c>
      <c r="D168" s="22">
        <v>22</v>
      </c>
      <c r="E168" s="22">
        <v>25</v>
      </c>
      <c r="F168" s="22">
        <v>27</v>
      </c>
      <c r="G168" s="3">
        <v>23</v>
      </c>
      <c r="H168" s="3">
        <v>23</v>
      </c>
      <c r="I168" s="3">
        <v>18</v>
      </c>
      <c r="J168" s="3">
        <v>20</v>
      </c>
      <c r="K168" s="3">
        <v>24</v>
      </c>
      <c r="L168" s="535">
        <v>22</v>
      </c>
    </row>
    <row r="169" spans="1:12">
      <c r="A169" s="3">
        <v>732</v>
      </c>
      <c r="B169" s="3" t="s">
        <v>158</v>
      </c>
      <c r="C169" s="22">
        <v>24</v>
      </c>
      <c r="D169" s="22">
        <v>42</v>
      </c>
      <c r="E169" s="22">
        <v>51</v>
      </c>
      <c r="F169" s="22">
        <v>51</v>
      </c>
      <c r="G169" s="3">
        <v>69</v>
      </c>
      <c r="H169" s="3">
        <v>67</v>
      </c>
      <c r="I169" s="3">
        <v>75</v>
      </c>
      <c r="J169" s="3">
        <v>80</v>
      </c>
      <c r="K169" s="3">
        <v>80</v>
      </c>
      <c r="L169" s="535">
        <v>88</v>
      </c>
    </row>
    <row r="170" spans="1:12">
      <c r="A170" s="3">
        <v>740</v>
      </c>
      <c r="B170" s="3" t="s">
        <v>159</v>
      </c>
      <c r="C170" s="22">
        <v>91</v>
      </c>
      <c r="D170" s="22">
        <v>92</v>
      </c>
      <c r="E170" s="22">
        <v>92</v>
      </c>
      <c r="F170" s="22">
        <v>97</v>
      </c>
      <c r="G170" s="3">
        <v>97</v>
      </c>
      <c r="H170" s="3">
        <v>99</v>
      </c>
      <c r="I170" s="3">
        <v>104</v>
      </c>
      <c r="J170" s="3">
        <v>107</v>
      </c>
      <c r="K170" s="3">
        <v>117</v>
      </c>
      <c r="L170" s="535">
        <v>130</v>
      </c>
    </row>
    <row r="171" spans="1:12">
      <c r="A171" s="3">
        <v>750</v>
      </c>
      <c r="B171" s="3" t="s">
        <v>160</v>
      </c>
      <c r="C171" s="22">
        <v>83</v>
      </c>
      <c r="D171" s="22">
        <v>89</v>
      </c>
      <c r="E171" s="22">
        <v>86</v>
      </c>
      <c r="F171" s="22">
        <v>87</v>
      </c>
      <c r="G171" s="3">
        <v>80</v>
      </c>
      <c r="H171" s="3">
        <v>87</v>
      </c>
      <c r="I171" s="3">
        <v>91</v>
      </c>
      <c r="J171" s="3">
        <v>91</v>
      </c>
      <c r="K171" s="3">
        <v>99</v>
      </c>
      <c r="L171" s="535">
        <v>121</v>
      </c>
    </row>
    <row r="172" spans="1:12">
      <c r="A172" s="3">
        <v>760</v>
      </c>
      <c r="B172" s="3" t="s">
        <v>161</v>
      </c>
      <c r="C172" s="22">
        <v>1</v>
      </c>
      <c r="D172" s="22">
        <v>2</v>
      </c>
      <c r="E172" s="22">
        <v>2</v>
      </c>
      <c r="F172" s="22">
        <v>2</v>
      </c>
      <c r="G172" s="3">
        <v>2</v>
      </c>
      <c r="H172" s="3">
        <v>2</v>
      </c>
      <c r="I172" s="3">
        <v>2</v>
      </c>
      <c r="J172" s="3">
        <v>2</v>
      </c>
      <c r="K172" s="3">
        <v>2</v>
      </c>
      <c r="L172" s="535">
        <v>2</v>
      </c>
    </row>
    <row r="173" spans="1:12">
      <c r="A173" s="3">
        <v>770</v>
      </c>
      <c r="B173" s="3" t="s">
        <v>162</v>
      </c>
      <c r="C173" s="22">
        <v>53</v>
      </c>
      <c r="D173" s="22">
        <v>53</v>
      </c>
      <c r="E173" s="22">
        <v>57</v>
      </c>
      <c r="F173" s="22">
        <v>60</v>
      </c>
      <c r="G173" s="3">
        <v>61</v>
      </c>
      <c r="H173" s="3">
        <v>63</v>
      </c>
      <c r="I173" s="3">
        <v>63</v>
      </c>
      <c r="J173" s="3">
        <v>64</v>
      </c>
      <c r="K173" s="3">
        <v>68</v>
      </c>
      <c r="L173" s="535">
        <v>74</v>
      </c>
    </row>
    <row r="174" spans="1:12">
      <c r="A174" s="3">
        <v>771</v>
      </c>
      <c r="B174" s="3" t="s">
        <v>163</v>
      </c>
      <c r="C174" s="22">
        <v>35</v>
      </c>
      <c r="D174" s="22">
        <v>38</v>
      </c>
      <c r="E174" s="22">
        <v>40</v>
      </c>
      <c r="F174" s="22">
        <v>36</v>
      </c>
      <c r="G174" s="3">
        <v>34</v>
      </c>
      <c r="H174" s="3">
        <v>30</v>
      </c>
      <c r="I174" s="3">
        <v>30</v>
      </c>
      <c r="J174" s="3">
        <v>32</v>
      </c>
      <c r="K174" s="3">
        <v>38</v>
      </c>
      <c r="L174" s="535">
        <v>37</v>
      </c>
    </row>
    <row r="175" spans="1:12">
      <c r="A175" s="3">
        <v>775</v>
      </c>
      <c r="B175" s="3" t="s">
        <v>164</v>
      </c>
      <c r="C175" s="22">
        <v>28</v>
      </c>
      <c r="D175" s="22">
        <v>24</v>
      </c>
      <c r="E175" s="22">
        <v>25</v>
      </c>
      <c r="F175" s="22">
        <v>26</v>
      </c>
      <c r="G175" s="3">
        <v>21</v>
      </c>
      <c r="H175" s="3">
        <v>22</v>
      </c>
      <c r="I175" s="3">
        <v>22</v>
      </c>
      <c r="J175" s="3">
        <v>21</v>
      </c>
      <c r="K175" s="3">
        <v>25</v>
      </c>
      <c r="L175" s="535">
        <v>25</v>
      </c>
    </row>
    <row r="176" spans="1:12">
      <c r="A176" s="3">
        <v>780</v>
      </c>
      <c r="B176" s="3" t="s">
        <v>165</v>
      </c>
      <c r="C176" s="22">
        <v>23</v>
      </c>
      <c r="D176" s="22">
        <v>25</v>
      </c>
      <c r="E176" s="22">
        <v>29</v>
      </c>
      <c r="F176" s="22">
        <v>28</v>
      </c>
      <c r="G176" s="3">
        <v>26</v>
      </c>
      <c r="H176" s="3">
        <v>25</v>
      </c>
      <c r="I176" s="3">
        <v>25</v>
      </c>
      <c r="J176" s="3">
        <v>27</v>
      </c>
      <c r="K176" s="3">
        <v>28</v>
      </c>
      <c r="L176" s="535">
        <v>33</v>
      </c>
    </row>
    <row r="177" spans="1:12">
      <c r="A177" s="3">
        <v>781</v>
      </c>
      <c r="B177" s="3" t="s">
        <v>166</v>
      </c>
      <c r="C177" s="22">
        <v>0</v>
      </c>
      <c r="D177" s="22">
        <v>3</v>
      </c>
      <c r="E177" s="22">
        <v>3</v>
      </c>
      <c r="F177" s="22">
        <v>3</v>
      </c>
      <c r="G177" s="3">
        <v>3</v>
      </c>
      <c r="H177" s="3">
        <v>3</v>
      </c>
      <c r="I177" s="3">
        <v>3</v>
      </c>
      <c r="J177" s="3">
        <v>4</v>
      </c>
      <c r="K177" s="3">
        <v>4</v>
      </c>
      <c r="L177" s="535">
        <v>3</v>
      </c>
    </row>
    <row r="178" spans="1:12">
      <c r="A178" s="3">
        <v>790</v>
      </c>
      <c r="B178" s="3" t="s">
        <v>167</v>
      </c>
      <c r="C178" s="22">
        <v>14</v>
      </c>
      <c r="D178" s="22">
        <v>17</v>
      </c>
      <c r="E178" s="22">
        <v>19</v>
      </c>
      <c r="F178" s="22">
        <v>17</v>
      </c>
      <c r="G178" s="3">
        <v>16</v>
      </c>
      <c r="H178" s="3">
        <v>17</v>
      </c>
      <c r="I178" s="3">
        <v>17</v>
      </c>
      <c r="J178" s="3">
        <v>19</v>
      </c>
      <c r="K178" s="3">
        <v>19</v>
      </c>
      <c r="L178" s="535">
        <v>20</v>
      </c>
    </row>
    <row r="179" spans="1:12">
      <c r="A179" s="3">
        <v>800</v>
      </c>
      <c r="B179" s="3" t="s">
        <v>168</v>
      </c>
      <c r="C179" s="22">
        <v>40</v>
      </c>
      <c r="D179" s="22">
        <v>41</v>
      </c>
      <c r="E179" s="22">
        <v>43</v>
      </c>
      <c r="F179" s="22">
        <v>48</v>
      </c>
      <c r="G179" s="3">
        <v>46</v>
      </c>
      <c r="H179" s="3">
        <v>48</v>
      </c>
      <c r="I179" s="3">
        <v>49</v>
      </c>
      <c r="J179" s="3">
        <v>50</v>
      </c>
      <c r="K179" s="3">
        <v>64</v>
      </c>
      <c r="L179" s="535">
        <v>64</v>
      </c>
    </row>
    <row r="180" spans="1:12">
      <c r="A180" s="3">
        <v>811</v>
      </c>
      <c r="B180" s="3" t="s">
        <v>169</v>
      </c>
      <c r="C180" s="22">
        <v>6</v>
      </c>
      <c r="D180" s="22">
        <v>10</v>
      </c>
      <c r="E180" s="22">
        <v>13</v>
      </c>
      <c r="F180" s="22">
        <v>12</v>
      </c>
      <c r="G180" s="3">
        <v>7</v>
      </c>
      <c r="H180" s="3">
        <v>18</v>
      </c>
      <c r="I180" s="3">
        <v>21</v>
      </c>
      <c r="J180" s="3">
        <v>21</v>
      </c>
      <c r="K180" s="3">
        <v>22</v>
      </c>
      <c r="L180" s="535">
        <v>21</v>
      </c>
    </row>
    <row r="181" spans="1:12">
      <c r="A181" s="3">
        <v>812</v>
      </c>
      <c r="B181" s="3" t="s">
        <v>170</v>
      </c>
      <c r="C181" s="22">
        <v>21</v>
      </c>
      <c r="D181" s="22">
        <v>21</v>
      </c>
      <c r="E181" s="22">
        <v>21</v>
      </c>
      <c r="F181" s="22">
        <v>21</v>
      </c>
      <c r="G181" s="3">
        <v>19</v>
      </c>
      <c r="H181" s="3">
        <v>18</v>
      </c>
      <c r="I181" s="3">
        <v>18</v>
      </c>
      <c r="J181" s="3">
        <v>19</v>
      </c>
      <c r="K181" s="3">
        <v>21</v>
      </c>
      <c r="L181" s="535">
        <v>21</v>
      </c>
    </row>
    <row r="182" spans="1:12">
      <c r="A182" s="3">
        <v>816</v>
      </c>
      <c r="B182" s="3" t="s">
        <v>171</v>
      </c>
      <c r="C182" s="22">
        <v>32</v>
      </c>
      <c r="D182" s="22">
        <v>31</v>
      </c>
      <c r="E182" s="22">
        <v>34</v>
      </c>
      <c r="F182" s="22">
        <v>35</v>
      </c>
      <c r="G182" s="3">
        <v>29</v>
      </c>
      <c r="H182" s="3">
        <v>38</v>
      </c>
      <c r="I182" s="3">
        <v>39</v>
      </c>
      <c r="J182" s="3">
        <v>41</v>
      </c>
      <c r="K182" s="3">
        <v>55</v>
      </c>
      <c r="L182" s="535">
        <v>58</v>
      </c>
    </row>
    <row r="183" spans="1:12">
      <c r="A183" s="3">
        <v>820</v>
      </c>
      <c r="B183" s="3" t="s">
        <v>172</v>
      </c>
      <c r="C183" s="22">
        <v>40</v>
      </c>
      <c r="D183" s="22">
        <v>37</v>
      </c>
      <c r="E183" s="22">
        <v>41</v>
      </c>
      <c r="F183" s="22">
        <v>41</v>
      </c>
      <c r="G183" s="3">
        <v>40</v>
      </c>
      <c r="H183" s="3">
        <v>41</v>
      </c>
      <c r="I183" s="3">
        <v>50</v>
      </c>
      <c r="J183" s="3">
        <v>51</v>
      </c>
      <c r="K183" s="3">
        <v>81</v>
      </c>
      <c r="L183" s="535">
        <v>86</v>
      </c>
    </row>
    <row r="184" spans="1:12">
      <c r="A184" s="3">
        <v>830</v>
      </c>
      <c r="B184" s="3" t="s">
        <v>173</v>
      </c>
      <c r="C184" s="22">
        <v>28</v>
      </c>
      <c r="D184" s="22">
        <v>31</v>
      </c>
      <c r="E184" s="22">
        <v>33</v>
      </c>
      <c r="F184" s="22">
        <v>35</v>
      </c>
      <c r="G184" s="3">
        <v>28</v>
      </c>
      <c r="H184" s="3">
        <v>39</v>
      </c>
      <c r="I184" s="3">
        <v>38</v>
      </c>
      <c r="J184" s="3">
        <v>40</v>
      </c>
      <c r="K184" s="3">
        <v>50</v>
      </c>
      <c r="L184" s="535">
        <v>56</v>
      </c>
    </row>
    <row r="185" spans="1:12">
      <c r="A185" s="3">
        <v>835</v>
      </c>
      <c r="B185" s="3" t="s">
        <v>174</v>
      </c>
      <c r="C185" s="22">
        <v>1</v>
      </c>
      <c r="D185" s="22">
        <v>9</v>
      </c>
      <c r="E185" s="22">
        <v>12</v>
      </c>
      <c r="F185" s="22">
        <v>12</v>
      </c>
      <c r="G185" s="3">
        <v>13</v>
      </c>
      <c r="H185" s="3">
        <v>11</v>
      </c>
      <c r="I185" s="3">
        <v>16</v>
      </c>
      <c r="J185" s="3">
        <v>22</v>
      </c>
      <c r="K185" s="3">
        <v>24</v>
      </c>
      <c r="L185" s="535">
        <v>25</v>
      </c>
    </row>
    <row r="186" spans="1:12">
      <c r="A186" s="3">
        <v>840</v>
      </c>
      <c r="B186" s="3" t="s">
        <v>175</v>
      </c>
      <c r="C186" s="22">
        <v>41</v>
      </c>
      <c r="D186" s="22">
        <v>51</v>
      </c>
      <c r="E186" s="22">
        <v>52</v>
      </c>
      <c r="F186" s="22">
        <v>50</v>
      </c>
      <c r="G186" s="3">
        <v>46</v>
      </c>
      <c r="H186" s="3">
        <v>48</v>
      </c>
      <c r="I186" s="3">
        <v>50</v>
      </c>
      <c r="J186" s="3">
        <v>53</v>
      </c>
      <c r="K186" s="3">
        <v>54</v>
      </c>
      <c r="L186" s="535">
        <v>48</v>
      </c>
    </row>
    <row r="187" spans="1:12">
      <c r="A187" s="3">
        <v>850</v>
      </c>
      <c r="B187" s="3" t="s">
        <v>176</v>
      </c>
      <c r="C187" s="22">
        <v>47</v>
      </c>
      <c r="D187" s="22">
        <v>49</v>
      </c>
      <c r="E187" s="22">
        <v>51</v>
      </c>
      <c r="F187" s="22">
        <v>53</v>
      </c>
      <c r="G187" s="3">
        <v>52</v>
      </c>
      <c r="H187" s="3">
        <v>57</v>
      </c>
      <c r="I187" s="3">
        <v>61</v>
      </c>
      <c r="J187" s="3">
        <v>63</v>
      </c>
      <c r="K187" s="3">
        <v>76</v>
      </c>
      <c r="L187" s="535">
        <v>78</v>
      </c>
    </row>
    <row r="188" spans="1:12">
      <c r="A188" s="3">
        <v>860</v>
      </c>
      <c r="B188" s="3" t="s">
        <v>197</v>
      </c>
      <c r="C188" s="534" t="s">
        <v>194</v>
      </c>
      <c r="D188" s="534" t="s">
        <v>194</v>
      </c>
      <c r="E188" s="534" t="s">
        <v>194</v>
      </c>
      <c r="F188" s="534" t="s">
        <v>194</v>
      </c>
      <c r="G188" s="534" t="s">
        <v>194</v>
      </c>
      <c r="H188" s="3" t="s">
        <v>194</v>
      </c>
      <c r="I188" s="3" t="s">
        <v>194</v>
      </c>
      <c r="J188" s="3">
        <v>0</v>
      </c>
      <c r="K188" s="3">
        <v>11</v>
      </c>
      <c r="L188" s="535">
        <v>12</v>
      </c>
    </row>
    <row r="189" spans="1:12">
      <c r="A189" s="3">
        <v>900</v>
      </c>
      <c r="B189" s="3" t="s">
        <v>177</v>
      </c>
      <c r="C189" s="22">
        <v>54</v>
      </c>
      <c r="D189" s="22">
        <v>59</v>
      </c>
      <c r="E189" s="22">
        <v>59</v>
      </c>
      <c r="F189" s="22">
        <v>59</v>
      </c>
      <c r="G189" s="3">
        <v>61</v>
      </c>
      <c r="H189" s="3">
        <v>65</v>
      </c>
      <c r="I189" s="3">
        <v>67</v>
      </c>
      <c r="J189" s="3">
        <v>66</v>
      </c>
      <c r="K189" s="3">
        <v>83</v>
      </c>
      <c r="L189" s="535">
        <v>86</v>
      </c>
    </row>
    <row r="190" spans="1:12">
      <c r="A190" s="3">
        <v>910</v>
      </c>
      <c r="B190" s="3" t="s">
        <v>178</v>
      </c>
      <c r="C190" s="22">
        <v>6</v>
      </c>
      <c r="D190" s="22">
        <v>11</v>
      </c>
      <c r="E190" s="22">
        <v>12</v>
      </c>
      <c r="F190" s="22">
        <v>13</v>
      </c>
      <c r="G190" s="3">
        <v>11</v>
      </c>
      <c r="H190" s="3">
        <v>11</v>
      </c>
      <c r="I190" s="3">
        <v>11</v>
      </c>
      <c r="J190" s="3">
        <v>14</v>
      </c>
      <c r="K190" s="3">
        <v>13</v>
      </c>
      <c r="L190" s="535">
        <v>13</v>
      </c>
    </row>
    <row r="191" spans="1:12">
      <c r="A191" s="3">
        <v>920</v>
      </c>
      <c r="B191" s="3" t="s">
        <v>179</v>
      </c>
      <c r="C191" s="22">
        <v>28</v>
      </c>
      <c r="D191" s="22">
        <v>26</v>
      </c>
      <c r="E191" s="22">
        <v>25</v>
      </c>
      <c r="F191" s="22">
        <v>26</v>
      </c>
      <c r="G191" s="3">
        <v>26</v>
      </c>
      <c r="H191" s="3">
        <v>26</v>
      </c>
      <c r="I191" s="3">
        <v>30</v>
      </c>
      <c r="J191" s="3">
        <v>32</v>
      </c>
      <c r="K191" s="3">
        <v>30</v>
      </c>
      <c r="L191" s="535">
        <v>29</v>
      </c>
    </row>
    <row r="192" spans="1:12">
      <c r="A192" s="3">
        <v>935</v>
      </c>
      <c r="B192" s="3" t="s">
        <v>180</v>
      </c>
      <c r="C192" s="534" t="s">
        <v>194</v>
      </c>
      <c r="D192" s="22">
        <v>3</v>
      </c>
      <c r="E192" s="22">
        <v>3</v>
      </c>
      <c r="F192" s="22">
        <v>3</v>
      </c>
      <c r="G192" s="3">
        <v>3</v>
      </c>
      <c r="H192" s="3">
        <v>5</v>
      </c>
      <c r="I192" s="3">
        <v>5</v>
      </c>
      <c r="J192" s="3">
        <v>5</v>
      </c>
      <c r="K192" s="3">
        <v>5</v>
      </c>
      <c r="L192" s="535">
        <v>4</v>
      </c>
    </row>
    <row r="193" spans="1:12">
      <c r="A193" s="3">
        <v>940</v>
      </c>
      <c r="B193" s="3" t="s">
        <v>181</v>
      </c>
      <c r="C193" s="22">
        <v>4</v>
      </c>
      <c r="D193" s="22">
        <v>4</v>
      </c>
      <c r="E193" s="22">
        <v>4</v>
      </c>
      <c r="F193" s="22">
        <v>4</v>
      </c>
      <c r="G193" s="3">
        <v>5</v>
      </c>
      <c r="H193" s="3">
        <v>5</v>
      </c>
      <c r="I193" s="3">
        <v>5</v>
      </c>
      <c r="J193" s="3">
        <v>5</v>
      </c>
      <c r="K193" s="3">
        <v>5</v>
      </c>
      <c r="L193" s="535">
        <v>5</v>
      </c>
    </row>
    <row r="194" spans="1:12">
      <c r="A194" s="3">
        <v>946</v>
      </c>
      <c r="B194" s="3" t="s">
        <v>182</v>
      </c>
      <c r="C194" s="534" t="s">
        <v>194</v>
      </c>
      <c r="D194" s="22">
        <v>2</v>
      </c>
      <c r="E194" s="22">
        <v>2</v>
      </c>
      <c r="F194" s="22">
        <v>3</v>
      </c>
      <c r="G194" s="3">
        <v>3</v>
      </c>
      <c r="H194" s="3">
        <v>3</v>
      </c>
      <c r="I194" s="3">
        <v>3</v>
      </c>
      <c r="J194" s="3">
        <v>3</v>
      </c>
      <c r="K194" s="3">
        <v>0</v>
      </c>
      <c r="L194" s="535">
        <v>3</v>
      </c>
    </row>
    <row r="195" spans="1:12">
      <c r="A195" s="3">
        <v>947</v>
      </c>
      <c r="B195" s="3" t="s">
        <v>183</v>
      </c>
      <c r="C195" s="534" t="s">
        <v>194</v>
      </c>
      <c r="D195" s="22">
        <v>0</v>
      </c>
      <c r="E195" s="22">
        <v>0</v>
      </c>
      <c r="F195" s="22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535">
        <v>0</v>
      </c>
    </row>
    <row r="196" spans="1:12">
      <c r="A196" s="3">
        <v>950</v>
      </c>
      <c r="B196" s="3" t="s">
        <v>184</v>
      </c>
      <c r="C196" s="22">
        <v>7</v>
      </c>
      <c r="D196" s="22">
        <v>12</v>
      </c>
      <c r="E196" s="22">
        <v>12</v>
      </c>
      <c r="F196" s="22">
        <v>11</v>
      </c>
      <c r="G196" s="3">
        <v>13</v>
      </c>
      <c r="H196" s="3">
        <v>13</v>
      </c>
      <c r="I196" s="3">
        <v>14</v>
      </c>
      <c r="J196" s="3">
        <v>13</v>
      </c>
      <c r="K196" s="3">
        <v>15</v>
      </c>
      <c r="L196" s="535">
        <v>14</v>
      </c>
    </row>
    <row r="197" spans="1:12">
      <c r="A197" s="3">
        <v>955</v>
      </c>
      <c r="B197" s="3" t="s">
        <v>185</v>
      </c>
      <c r="C197" s="22">
        <v>3</v>
      </c>
      <c r="D197" s="22">
        <v>4</v>
      </c>
      <c r="E197" s="22">
        <v>4</v>
      </c>
      <c r="F197" s="22">
        <v>4</v>
      </c>
      <c r="G197" s="3">
        <v>4</v>
      </c>
      <c r="H197" s="3">
        <v>4</v>
      </c>
      <c r="I197" s="3">
        <v>4</v>
      </c>
      <c r="J197" s="3">
        <v>4</v>
      </c>
      <c r="K197" s="3">
        <v>4</v>
      </c>
      <c r="L197" s="535">
        <v>4</v>
      </c>
    </row>
    <row r="198" spans="1:12">
      <c r="A198" s="3">
        <v>970</v>
      </c>
      <c r="B198" s="3" t="s">
        <v>186</v>
      </c>
      <c r="C198" s="22">
        <v>1</v>
      </c>
      <c r="D198" s="22">
        <v>0</v>
      </c>
      <c r="E198" s="22">
        <v>0</v>
      </c>
      <c r="F198" s="22">
        <v>1</v>
      </c>
      <c r="G198" s="3">
        <v>1</v>
      </c>
      <c r="H198" s="3">
        <v>1</v>
      </c>
      <c r="I198" s="3">
        <v>1</v>
      </c>
      <c r="J198" s="3">
        <v>1</v>
      </c>
      <c r="K198" s="3">
        <v>1</v>
      </c>
      <c r="L198" s="535">
        <v>0</v>
      </c>
    </row>
    <row r="199" spans="1:12">
      <c r="A199" s="3">
        <v>983</v>
      </c>
      <c r="B199" s="3" t="s">
        <v>187</v>
      </c>
      <c r="C199" s="534" t="s">
        <v>194</v>
      </c>
      <c r="D199" s="534" t="s">
        <v>194</v>
      </c>
      <c r="E199" s="534" t="s">
        <v>194</v>
      </c>
      <c r="F199" s="22">
        <v>1</v>
      </c>
      <c r="G199" s="3">
        <v>2</v>
      </c>
      <c r="H199" s="3">
        <v>3</v>
      </c>
      <c r="I199" s="3">
        <v>3</v>
      </c>
      <c r="J199" s="3">
        <v>3</v>
      </c>
      <c r="K199" s="3">
        <v>3</v>
      </c>
      <c r="L199" s="535">
        <v>3</v>
      </c>
    </row>
    <row r="200" spans="1:12">
      <c r="A200" s="3">
        <v>986</v>
      </c>
      <c r="B200" s="3" t="s">
        <v>188</v>
      </c>
      <c r="C200" s="534" t="s">
        <v>194</v>
      </c>
      <c r="D200" s="534" t="s">
        <v>194</v>
      </c>
      <c r="E200" s="534" t="s">
        <v>194</v>
      </c>
      <c r="F200" s="534" t="s">
        <v>194</v>
      </c>
      <c r="G200" s="534" t="s">
        <v>194</v>
      </c>
      <c r="H200" s="3">
        <v>2</v>
      </c>
      <c r="I200" s="3">
        <v>0</v>
      </c>
      <c r="J200" s="3">
        <v>2</v>
      </c>
      <c r="K200" s="3">
        <v>4</v>
      </c>
      <c r="L200" s="535">
        <v>2</v>
      </c>
    </row>
    <row r="201" spans="1:12">
      <c r="A201" s="3">
        <v>987</v>
      </c>
      <c r="B201" s="3" t="s">
        <v>189</v>
      </c>
      <c r="C201" s="534" t="s">
        <v>194</v>
      </c>
      <c r="D201" s="534" t="s">
        <v>194</v>
      </c>
      <c r="E201" s="534" t="s">
        <v>194</v>
      </c>
      <c r="F201" s="22">
        <v>0</v>
      </c>
      <c r="G201" s="3">
        <v>2</v>
      </c>
      <c r="H201" s="3">
        <v>3</v>
      </c>
      <c r="I201" s="3">
        <v>2</v>
      </c>
      <c r="J201" s="3">
        <v>3</v>
      </c>
      <c r="K201" s="3">
        <v>3</v>
      </c>
      <c r="L201" s="535">
        <v>4</v>
      </c>
    </row>
    <row r="202" spans="1:12">
      <c r="A202" s="3">
        <v>990</v>
      </c>
      <c r="B202" s="3" t="s">
        <v>190</v>
      </c>
      <c r="C202" s="22">
        <v>3</v>
      </c>
      <c r="D202" s="22">
        <v>3</v>
      </c>
      <c r="E202" s="22">
        <v>3</v>
      </c>
      <c r="F202" s="22">
        <v>3</v>
      </c>
      <c r="G202" s="3">
        <v>4</v>
      </c>
      <c r="H202" s="3">
        <v>5</v>
      </c>
      <c r="I202" s="3">
        <v>3</v>
      </c>
      <c r="J202" s="3">
        <v>3</v>
      </c>
      <c r="K202" s="3">
        <v>3</v>
      </c>
      <c r="L202" s="535">
        <v>3</v>
      </c>
    </row>
    <row r="203" spans="1:12">
      <c r="E203" s="22"/>
    </row>
    <row r="204" spans="1:12">
      <c r="E204" s="22"/>
    </row>
    <row r="205" spans="1:12">
      <c r="E205" s="22"/>
    </row>
    <row r="206" spans="1:12">
      <c r="E206" s="22"/>
    </row>
    <row r="207" spans="1:12">
      <c r="E207" s="22"/>
    </row>
    <row r="208" spans="1:12">
      <c r="E208" s="22"/>
    </row>
    <row r="209" spans="5:5">
      <c r="E209" s="22"/>
    </row>
    <row r="210" spans="5:5">
      <c r="E210" s="22"/>
    </row>
    <row r="211" spans="5:5">
      <c r="E211" s="22"/>
    </row>
    <row r="212" spans="5:5">
      <c r="E212" s="22"/>
    </row>
    <row r="213" spans="5:5">
      <c r="E213" s="22"/>
    </row>
    <row r="214" spans="5:5">
      <c r="E214" s="22"/>
    </row>
    <row r="215" spans="5:5">
      <c r="E215" s="22"/>
    </row>
    <row r="216" spans="5:5">
      <c r="E216" s="22"/>
    </row>
    <row r="217" spans="5:5">
      <c r="E217" s="22"/>
    </row>
    <row r="218" spans="5:5">
      <c r="E218" s="22"/>
    </row>
    <row r="219" spans="5:5">
      <c r="E219" s="22"/>
    </row>
    <row r="220" spans="5:5">
      <c r="E220" s="22"/>
    </row>
    <row r="221" spans="5:5">
      <c r="E221" s="22"/>
    </row>
    <row r="222" spans="5:5">
      <c r="E222" s="22"/>
    </row>
    <row r="223" spans="5:5">
      <c r="E223" s="22"/>
    </row>
    <row r="224" spans="5:5">
      <c r="E224" s="22"/>
    </row>
    <row r="225" spans="5:5">
      <c r="E225" s="22"/>
    </row>
    <row r="226" spans="5:5">
      <c r="E226" s="22"/>
    </row>
    <row r="229" spans="5:5">
      <c r="E229" s="533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"/>
  <sheetViews>
    <sheetView topLeftCell="E106" workbookViewId="0">
      <selection activeCell="C205" sqref="C205"/>
    </sheetView>
  </sheetViews>
  <sheetFormatPr defaultRowHeight="15"/>
  <cols>
    <col min="1" max="16384" width="9.140625" style="22"/>
  </cols>
  <sheetData>
    <row r="1" spans="1:23">
      <c r="A1" s="1364" t="s">
        <v>398</v>
      </c>
    </row>
    <row r="2" spans="1:23">
      <c r="A2" s="1365" t="s">
        <v>399</v>
      </c>
    </row>
    <row r="3" spans="1:23">
      <c r="A3" s="22" t="s">
        <v>394</v>
      </c>
    </row>
    <row r="4" spans="1:23">
      <c r="A4" s="1366" t="s">
        <v>400</v>
      </c>
    </row>
    <row r="6" spans="1:23">
      <c r="A6" s="11" t="s">
        <v>191</v>
      </c>
      <c r="B6" s="11" t="s">
        <v>192</v>
      </c>
      <c r="C6" s="11">
        <v>1990</v>
      </c>
      <c r="D6" s="11">
        <v>1991</v>
      </c>
      <c r="E6" s="11">
        <v>1992</v>
      </c>
      <c r="F6" s="11">
        <v>1993</v>
      </c>
      <c r="G6" s="11">
        <v>1994</v>
      </c>
      <c r="H6" s="11">
        <v>1995</v>
      </c>
      <c r="I6" s="11">
        <v>1996</v>
      </c>
      <c r="J6" s="11">
        <v>1997</v>
      </c>
      <c r="K6" s="11">
        <v>1998</v>
      </c>
      <c r="L6" s="11">
        <v>1999</v>
      </c>
      <c r="M6" s="11">
        <v>2000</v>
      </c>
      <c r="N6" s="11">
        <v>2001</v>
      </c>
      <c r="O6" s="11">
        <v>2002</v>
      </c>
      <c r="P6" s="11">
        <v>2003</v>
      </c>
      <c r="Q6" s="11">
        <v>2004</v>
      </c>
      <c r="R6" s="11">
        <v>2005</v>
      </c>
      <c r="S6" s="11">
        <v>2006</v>
      </c>
      <c r="T6" s="11">
        <v>2007</v>
      </c>
      <c r="U6" s="11">
        <v>2008</v>
      </c>
      <c r="V6" s="11">
        <v>2009</v>
      </c>
      <c r="W6" s="11">
        <v>2010</v>
      </c>
    </row>
    <row r="7" spans="1:23">
      <c r="A7" s="11">
        <v>2</v>
      </c>
      <c r="B7" s="5" t="s">
        <v>0</v>
      </c>
      <c r="C7" s="5">
        <f>1752*2.53105</f>
        <v>4434.3995999999997</v>
      </c>
      <c r="D7" s="5">
        <v>4404.7447499999998</v>
      </c>
      <c r="E7" s="5">
        <v>4389.8040000000001</v>
      </c>
      <c r="F7" s="5">
        <v>5591.04</v>
      </c>
      <c r="G7" s="5">
        <v>6708.24</v>
      </c>
      <c r="H7" s="5">
        <v>6394.5000000000009</v>
      </c>
      <c r="I7" s="5">
        <v>6631.9500000000007</v>
      </c>
      <c r="J7" s="5">
        <v>7109.6399999999994</v>
      </c>
      <c r="K7" s="5">
        <v>7818.08</v>
      </c>
      <c r="L7" s="5">
        <v>6631.9400000000005</v>
      </c>
      <c r="M7" s="5">
        <v>6163.08</v>
      </c>
      <c r="N7" s="5">
        <v>6772.8499999999995</v>
      </c>
      <c r="O7" s="5">
        <v>5345.58</v>
      </c>
      <c r="P7" s="5">
        <v>4402.2994129999997</v>
      </c>
      <c r="Q7" s="5">
        <v>2767.3003400000002</v>
      </c>
      <c r="R7" s="5">
        <v>7155.7002719999991</v>
      </c>
      <c r="S7" s="5">
        <v>6998.1988560000009</v>
      </c>
      <c r="T7" s="5">
        <v>6318.8989499999998</v>
      </c>
      <c r="U7" s="22">
        <f>917*2.281679</f>
        <v>2092.2996429999998</v>
      </c>
      <c r="V7" s="22">
        <f>831*2.259085</f>
        <v>1877.2996349999999</v>
      </c>
      <c r="W7" s="22">
        <f>621*2.107891</f>
        <v>1309.000311</v>
      </c>
    </row>
    <row r="8" spans="1:23">
      <c r="A8" s="11">
        <v>20</v>
      </c>
      <c r="B8" s="5" t="s">
        <v>1</v>
      </c>
      <c r="C8" s="5">
        <f>160*2.5425</f>
        <v>406.8</v>
      </c>
      <c r="D8" s="5">
        <v>475.70002700000003</v>
      </c>
      <c r="E8" s="5">
        <v>536.84400000000005</v>
      </c>
      <c r="F8" s="5">
        <v>733.41</v>
      </c>
      <c r="G8" s="5">
        <v>929.16</v>
      </c>
      <c r="H8" s="5">
        <v>737.93999999999994</v>
      </c>
      <c r="I8" s="5">
        <v>800.31</v>
      </c>
      <c r="J8" s="5">
        <v>665.6</v>
      </c>
      <c r="K8" s="5">
        <v>505.66</v>
      </c>
      <c r="L8" s="5">
        <v>443.88000000000005</v>
      </c>
      <c r="M8" s="5">
        <v>553.28000000000009</v>
      </c>
      <c r="N8" s="5">
        <v>594.87</v>
      </c>
      <c r="O8" s="5">
        <v>462.47999999999996</v>
      </c>
      <c r="P8" s="5">
        <v>280.39999999999998</v>
      </c>
      <c r="Q8" s="5">
        <v>216.99998500000001</v>
      </c>
      <c r="R8" s="5">
        <v>362.80004600000001</v>
      </c>
      <c r="S8" s="5">
        <v>385.900036</v>
      </c>
      <c r="T8" s="5">
        <v>252.599965</v>
      </c>
      <c r="U8" s="22">
        <f>49*2.853061</f>
        <v>139.79998899999998</v>
      </c>
      <c r="V8" s="22">
        <f>32*1.840625</f>
        <v>58.9</v>
      </c>
      <c r="W8" s="22">
        <f>12*2.358333</f>
        <v>28.299996</v>
      </c>
    </row>
    <row r="9" spans="1:23">
      <c r="A9" s="11">
        <v>31</v>
      </c>
      <c r="B9" s="5" t="s">
        <v>2</v>
      </c>
      <c r="C9" s="5">
        <f>2*7.4</f>
        <v>14.8</v>
      </c>
      <c r="D9" s="5">
        <v>2.8</v>
      </c>
      <c r="E9" s="5">
        <v>1.9</v>
      </c>
      <c r="F9" s="5">
        <v>2.8</v>
      </c>
      <c r="G9" s="5">
        <v>3</v>
      </c>
      <c r="H9" s="5">
        <v>5.8</v>
      </c>
      <c r="I9" s="5">
        <v>13.12</v>
      </c>
      <c r="J9" s="5">
        <v>8.8000000000000007</v>
      </c>
      <c r="K9" s="5">
        <v>11.8</v>
      </c>
      <c r="L9" s="5">
        <v>3.8</v>
      </c>
      <c r="M9" s="5">
        <v>10.4</v>
      </c>
      <c r="N9" s="5">
        <v>10.32</v>
      </c>
      <c r="O9" s="5">
        <v>5.6</v>
      </c>
      <c r="P9" s="5">
        <v>3.5</v>
      </c>
      <c r="Q9" s="5">
        <v>0</v>
      </c>
      <c r="R9" s="5">
        <v>0</v>
      </c>
      <c r="S9" s="5">
        <v>0.8</v>
      </c>
      <c r="T9" s="5">
        <v>1.9</v>
      </c>
      <c r="U9" s="5">
        <v>0</v>
      </c>
      <c r="V9" s="5">
        <v>0</v>
      </c>
      <c r="W9" s="5">
        <v>0</v>
      </c>
    </row>
    <row r="10" spans="1:23">
      <c r="A10" s="11">
        <v>40</v>
      </c>
      <c r="B10" s="5" t="s">
        <v>3</v>
      </c>
      <c r="C10" s="5">
        <f>55*2.261818</f>
        <v>124.39998999999999</v>
      </c>
      <c r="D10" s="5">
        <v>155.50002000000001</v>
      </c>
      <c r="E10" s="5">
        <v>133.62299999999999</v>
      </c>
      <c r="F10" s="5">
        <v>156.80000000000001</v>
      </c>
      <c r="G10" s="5">
        <v>206.8</v>
      </c>
      <c r="H10" s="5">
        <v>285.59999999999997</v>
      </c>
      <c r="I10" s="5">
        <v>220.88</v>
      </c>
      <c r="J10" s="5">
        <v>174.3</v>
      </c>
      <c r="K10" s="5">
        <v>228.40999999999997</v>
      </c>
      <c r="L10" s="5">
        <v>165.06</v>
      </c>
      <c r="M10" s="5">
        <v>258.72000000000003</v>
      </c>
      <c r="N10" s="5">
        <v>148.67999999999998</v>
      </c>
      <c r="O10" s="5">
        <v>99.9</v>
      </c>
      <c r="P10" s="5">
        <v>57.599996999999995</v>
      </c>
      <c r="Q10" s="5">
        <v>57.900003000000005</v>
      </c>
      <c r="R10" s="5">
        <v>172.19997900000001</v>
      </c>
      <c r="S10" s="5">
        <v>149.20002000000002</v>
      </c>
      <c r="T10" s="5">
        <v>126.499984</v>
      </c>
      <c r="U10" s="22">
        <v>74.7</v>
      </c>
      <c r="V10" s="22">
        <f>26*2.876923</f>
        <v>74.799998000000002</v>
      </c>
      <c r="W10" s="22">
        <f>6*1.883333</f>
        <v>11.299997999999999</v>
      </c>
    </row>
    <row r="11" spans="1:23">
      <c r="A11" s="11">
        <v>41</v>
      </c>
      <c r="B11" s="5" t="s">
        <v>4</v>
      </c>
      <c r="C11" s="5">
        <f>15*2.093333</f>
        <v>31.399994999999997</v>
      </c>
      <c r="D11" s="5">
        <v>22.100001000000002</v>
      </c>
      <c r="E11" s="5">
        <v>24.5</v>
      </c>
      <c r="F11" s="5">
        <v>44.88</v>
      </c>
      <c r="G11" s="5">
        <v>127.60000000000001</v>
      </c>
      <c r="H11" s="5">
        <v>35.520000000000003</v>
      </c>
      <c r="I11" s="5">
        <v>38.76</v>
      </c>
      <c r="J11" s="5">
        <v>12.4</v>
      </c>
      <c r="K11" s="5">
        <v>46.349999999999994</v>
      </c>
      <c r="L11" s="5">
        <v>13.09</v>
      </c>
      <c r="M11" s="5">
        <v>8.1000000000000014</v>
      </c>
      <c r="N11" s="5">
        <v>3.8</v>
      </c>
      <c r="O11" s="5">
        <v>6.6</v>
      </c>
      <c r="P11" s="5">
        <v>0</v>
      </c>
      <c r="Q11" s="5">
        <v>108.49998100000001</v>
      </c>
      <c r="R11" s="5">
        <v>37.100000999999999</v>
      </c>
      <c r="S11" s="5">
        <v>31.3</v>
      </c>
      <c r="T11" s="5">
        <v>8.3999999999999986</v>
      </c>
      <c r="U11" s="22">
        <f>1*1.2</f>
        <v>1.2</v>
      </c>
      <c r="V11" s="5">
        <v>2.8</v>
      </c>
      <c r="W11" s="22">
        <f>18*2.538889</f>
        <v>45.700002000000005</v>
      </c>
    </row>
    <row r="12" spans="1:23">
      <c r="A12" s="11">
        <v>42</v>
      </c>
      <c r="B12" s="5" t="s">
        <v>5</v>
      </c>
      <c r="C12" s="5">
        <f>5*2.44</f>
        <v>12.2</v>
      </c>
      <c r="D12" s="5">
        <v>4</v>
      </c>
      <c r="E12" s="5">
        <v>0</v>
      </c>
      <c r="F12" s="5">
        <v>2.9</v>
      </c>
      <c r="G12" s="5">
        <v>22.5</v>
      </c>
      <c r="H12" s="5">
        <v>1</v>
      </c>
      <c r="I12" s="5">
        <v>5.8</v>
      </c>
      <c r="J12" s="5">
        <v>27.7</v>
      </c>
      <c r="K12" s="5">
        <v>19.32</v>
      </c>
      <c r="L12" s="5">
        <v>5.49</v>
      </c>
      <c r="M12" s="5">
        <v>0</v>
      </c>
      <c r="N12" s="5">
        <v>9</v>
      </c>
      <c r="O12" s="5">
        <v>4.7</v>
      </c>
      <c r="P12" s="5">
        <v>4.8000000000000007</v>
      </c>
      <c r="Q12" s="5">
        <v>5.0999999999999996</v>
      </c>
      <c r="R12" s="5">
        <v>6</v>
      </c>
      <c r="S12" s="5">
        <v>18.5</v>
      </c>
      <c r="T12" s="5">
        <v>0</v>
      </c>
      <c r="U12" s="22">
        <f>2*1.7</f>
        <v>3.4</v>
      </c>
      <c r="V12" s="5">
        <v>3</v>
      </c>
      <c r="W12" s="5">
        <v>0.1</v>
      </c>
    </row>
    <row r="13" spans="1:23">
      <c r="A13" s="11">
        <v>51</v>
      </c>
      <c r="B13" s="5" t="s">
        <v>6</v>
      </c>
      <c r="C13" s="5">
        <f>7*2.357143</f>
        <v>16.500001000000001</v>
      </c>
      <c r="D13" s="5">
        <v>12.4</v>
      </c>
      <c r="E13" s="5">
        <v>10.504</v>
      </c>
      <c r="F13" s="5">
        <v>15.12</v>
      </c>
      <c r="G13" s="5">
        <v>10.3</v>
      </c>
      <c r="H13" s="5">
        <v>15.600000000000001</v>
      </c>
      <c r="I13" s="5">
        <v>7.6</v>
      </c>
      <c r="J13" s="5">
        <v>21.78</v>
      </c>
      <c r="K13" s="5">
        <v>16.72</v>
      </c>
      <c r="L13" s="5">
        <v>14.069999999999999</v>
      </c>
      <c r="M13" s="5">
        <v>8.1999999999999993</v>
      </c>
      <c r="N13" s="5">
        <v>18.27</v>
      </c>
      <c r="O13" s="5">
        <v>16</v>
      </c>
      <c r="P13" s="5">
        <v>0.1</v>
      </c>
      <c r="Q13" s="5">
        <v>19.7</v>
      </c>
      <c r="R13" s="5">
        <v>10.5</v>
      </c>
      <c r="S13" s="5">
        <v>0.8</v>
      </c>
      <c r="T13" s="5">
        <v>0</v>
      </c>
      <c r="U13" s="5">
        <v>0</v>
      </c>
      <c r="V13" s="5">
        <v>3</v>
      </c>
      <c r="W13" s="5">
        <v>3</v>
      </c>
    </row>
    <row r="14" spans="1:23">
      <c r="A14" s="11">
        <v>52</v>
      </c>
      <c r="B14" s="5" t="s">
        <v>7</v>
      </c>
      <c r="C14" s="5">
        <f>9*2.044444</f>
        <v>18.399995999999998</v>
      </c>
      <c r="D14" s="5">
        <v>11.399999999999999</v>
      </c>
      <c r="E14" s="5">
        <v>4.0999999999999996</v>
      </c>
      <c r="F14" s="5">
        <v>13.8</v>
      </c>
      <c r="G14" s="5">
        <v>17.899999999999999</v>
      </c>
      <c r="H14" s="5">
        <v>29.04</v>
      </c>
      <c r="I14" s="5">
        <v>15.1</v>
      </c>
      <c r="J14" s="5">
        <v>21.52</v>
      </c>
      <c r="K14" s="5">
        <v>11.6</v>
      </c>
      <c r="L14" s="5">
        <v>11.4</v>
      </c>
      <c r="M14" s="5">
        <v>12</v>
      </c>
      <c r="N14" s="5">
        <v>4.8</v>
      </c>
      <c r="O14" s="5">
        <v>6</v>
      </c>
      <c r="P14" s="5">
        <v>3</v>
      </c>
      <c r="Q14" s="5">
        <v>5.8</v>
      </c>
      <c r="R14" s="5">
        <v>8.6000010000000007</v>
      </c>
      <c r="S14" s="5">
        <v>0</v>
      </c>
      <c r="T14" s="5">
        <v>6</v>
      </c>
      <c r="U14" s="5">
        <v>0</v>
      </c>
      <c r="V14" s="5">
        <v>3</v>
      </c>
      <c r="W14" s="5">
        <v>2.2000000000000002</v>
      </c>
    </row>
    <row r="15" spans="1:23">
      <c r="A15" s="11">
        <v>53</v>
      </c>
      <c r="B15" s="5" t="s">
        <v>8</v>
      </c>
      <c r="C15" s="5">
        <v>5.8</v>
      </c>
      <c r="D15" s="5">
        <v>26.899992000000001</v>
      </c>
      <c r="E15" s="5">
        <v>24.206000000000003</v>
      </c>
      <c r="F15" s="5">
        <v>4</v>
      </c>
      <c r="G15" s="5">
        <v>9.3999999999999986</v>
      </c>
      <c r="H15" s="5">
        <v>2.8</v>
      </c>
      <c r="I15" s="5">
        <v>6</v>
      </c>
      <c r="J15" s="5">
        <v>2.8</v>
      </c>
      <c r="K15" s="5">
        <v>5.6</v>
      </c>
      <c r="L15" s="5">
        <v>7.1999999999999993</v>
      </c>
      <c r="M15" s="5">
        <v>3</v>
      </c>
      <c r="N15" s="5">
        <v>3.4</v>
      </c>
      <c r="O15" s="5">
        <v>0</v>
      </c>
      <c r="P15" s="5">
        <v>0</v>
      </c>
      <c r="Q15" s="5">
        <v>2.8</v>
      </c>
      <c r="R15" s="5">
        <v>2.8</v>
      </c>
      <c r="S15" s="5">
        <v>0</v>
      </c>
      <c r="T15" s="5">
        <v>0</v>
      </c>
      <c r="U15" s="5">
        <v>3.2</v>
      </c>
      <c r="V15" s="5">
        <v>0</v>
      </c>
      <c r="W15" s="5">
        <v>1.9</v>
      </c>
    </row>
    <row r="16" spans="1:23">
      <c r="A16" s="11">
        <v>54</v>
      </c>
      <c r="B16" s="5" t="s">
        <v>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5.4</v>
      </c>
      <c r="J16" s="5">
        <v>0</v>
      </c>
      <c r="K16" s="5">
        <v>0</v>
      </c>
      <c r="L16" s="5">
        <v>0.1</v>
      </c>
      <c r="M16" s="5">
        <v>0</v>
      </c>
      <c r="N16" s="5">
        <v>0.8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1:23">
      <c r="A17" s="11">
        <v>55</v>
      </c>
      <c r="B17" s="5" t="s">
        <v>10</v>
      </c>
      <c r="C17" s="5">
        <v>0</v>
      </c>
      <c r="D17" s="5">
        <v>0</v>
      </c>
      <c r="E17" s="5">
        <v>0</v>
      </c>
      <c r="F17" s="5">
        <v>0</v>
      </c>
      <c r="G17" s="5">
        <v>0.1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1:23">
      <c r="A18" s="11">
        <v>56</v>
      </c>
      <c r="B18" s="5" t="s">
        <v>11</v>
      </c>
      <c r="C18" s="5">
        <v>0</v>
      </c>
      <c r="D18" s="5">
        <v>1.9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3</v>
      </c>
      <c r="K18" s="5">
        <v>0</v>
      </c>
      <c r="L18" s="5">
        <v>2.8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5.6</v>
      </c>
      <c r="U18" s="5">
        <v>0</v>
      </c>
      <c r="V18" s="5">
        <v>0</v>
      </c>
      <c r="W18" s="5">
        <v>0</v>
      </c>
    </row>
    <row r="19" spans="1:23">
      <c r="A19" s="11">
        <v>57</v>
      </c>
      <c r="B19" s="5" t="s">
        <v>12</v>
      </c>
      <c r="C19" s="5">
        <v>0</v>
      </c>
      <c r="D19" s="5">
        <v>0</v>
      </c>
      <c r="E19" s="5">
        <v>5.4</v>
      </c>
      <c r="F19" s="5">
        <v>3</v>
      </c>
      <c r="G19" s="5">
        <v>0</v>
      </c>
      <c r="H19" s="5">
        <v>0</v>
      </c>
      <c r="I19" s="5">
        <v>3</v>
      </c>
      <c r="J19" s="5">
        <v>4.9000000000000004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1:23">
      <c r="A20" s="11">
        <v>58</v>
      </c>
      <c r="B20" s="5" t="s">
        <v>13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1.9</v>
      </c>
      <c r="I20" s="5">
        <v>0</v>
      </c>
      <c r="J20" s="5">
        <v>2.2000000000000002</v>
      </c>
      <c r="K20" s="5">
        <v>4.8</v>
      </c>
      <c r="L20" s="5">
        <v>0</v>
      </c>
      <c r="M20" s="5">
        <v>0</v>
      </c>
      <c r="N20" s="5">
        <v>0</v>
      </c>
      <c r="O20" s="5">
        <v>0</v>
      </c>
      <c r="P20" s="5">
        <v>3.4</v>
      </c>
      <c r="Q20" s="5">
        <v>0</v>
      </c>
      <c r="R20" s="5">
        <v>0</v>
      </c>
      <c r="S20" s="5">
        <v>0</v>
      </c>
      <c r="T20" s="5">
        <v>1</v>
      </c>
      <c r="U20" s="22">
        <f>3*2.7</f>
        <v>8.1000000000000014</v>
      </c>
      <c r="V20" s="5">
        <v>0</v>
      </c>
      <c r="W20" s="5">
        <v>0</v>
      </c>
    </row>
    <row r="21" spans="1:23">
      <c r="A21" s="11">
        <v>60</v>
      </c>
      <c r="B21" s="5" t="s">
        <v>14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5.4</v>
      </c>
      <c r="I21" s="5">
        <v>0</v>
      </c>
      <c r="J21" s="5">
        <v>0</v>
      </c>
      <c r="K21" s="5">
        <v>3</v>
      </c>
      <c r="L21" s="5">
        <v>0</v>
      </c>
      <c r="M21" s="5">
        <v>0</v>
      </c>
      <c r="N21" s="5">
        <v>0</v>
      </c>
      <c r="O21" s="5">
        <v>4.8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1:23">
      <c r="A22" s="11">
        <v>70</v>
      </c>
      <c r="B22" s="5" t="s">
        <v>15</v>
      </c>
      <c r="C22" s="5">
        <f>108*2.194444</f>
        <v>236.99995199999998</v>
      </c>
      <c r="D22" s="5">
        <v>230.10004799999999</v>
      </c>
      <c r="E22" s="5">
        <v>211.446</v>
      </c>
      <c r="F22" s="5">
        <v>306.45</v>
      </c>
      <c r="G22" s="5">
        <v>198.37</v>
      </c>
      <c r="H22" s="5">
        <v>228.26</v>
      </c>
      <c r="I22" s="5">
        <v>336.96</v>
      </c>
      <c r="J22" s="5">
        <v>295</v>
      </c>
      <c r="K22" s="5">
        <v>336</v>
      </c>
      <c r="L22" s="5">
        <v>255.35999999999999</v>
      </c>
      <c r="M22" s="5">
        <v>300.49</v>
      </c>
      <c r="N22" s="5">
        <v>302.21999999999997</v>
      </c>
      <c r="O22" s="5">
        <v>169.06</v>
      </c>
      <c r="P22" s="5">
        <v>92.999994000000015</v>
      </c>
      <c r="Q22" s="5">
        <v>154.69998299999997</v>
      </c>
      <c r="R22" s="5">
        <v>159.49999800000001</v>
      </c>
      <c r="S22" s="5">
        <v>184.30003500000001</v>
      </c>
      <c r="T22" s="5">
        <v>127.60002899999999</v>
      </c>
      <c r="U22" s="22">
        <f>25*1.84</f>
        <v>46</v>
      </c>
      <c r="V22" s="22">
        <f>44*2.490909</f>
        <v>109.59999599999999</v>
      </c>
      <c r="W22" s="22">
        <f>26*3.246154</f>
        <v>84.40000400000001</v>
      </c>
    </row>
    <row r="23" spans="1:23">
      <c r="A23" s="11">
        <v>80</v>
      </c>
      <c r="B23" s="5" t="s">
        <v>16</v>
      </c>
      <c r="C23" s="5">
        <v>0</v>
      </c>
      <c r="D23" s="5">
        <v>7.7000009999999994</v>
      </c>
      <c r="E23" s="5">
        <v>3</v>
      </c>
      <c r="F23" s="5">
        <v>6.92</v>
      </c>
      <c r="G23" s="5">
        <v>5.6</v>
      </c>
      <c r="H23" s="5">
        <v>6.8100000000000005</v>
      </c>
      <c r="I23" s="5">
        <v>3</v>
      </c>
      <c r="J23" s="5">
        <v>1</v>
      </c>
      <c r="K23" s="5">
        <v>1</v>
      </c>
      <c r="L23" s="5">
        <v>4.5</v>
      </c>
      <c r="M23" s="5">
        <v>3</v>
      </c>
      <c r="N23" s="5">
        <v>0</v>
      </c>
      <c r="O23" s="5">
        <v>0</v>
      </c>
      <c r="P23" s="5">
        <v>0</v>
      </c>
      <c r="Q23" s="5">
        <v>0</v>
      </c>
      <c r="R23" s="5">
        <v>3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1:23">
      <c r="A24" s="11">
        <v>90</v>
      </c>
      <c r="B24" s="5" t="s">
        <v>17</v>
      </c>
      <c r="C24" s="5">
        <f>22*1.545455</f>
        <v>34.000010000000003</v>
      </c>
      <c r="D24" s="5">
        <v>34.000005000000002</v>
      </c>
      <c r="E24" s="5">
        <v>37.001999999999995</v>
      </c>
      <c r="F24" s="5">
        <v>55.44</v>
      </c>
      <c r="G24" s="5">
        <v>36.839999999999996</v>
      </c>
      <c r="H24" s="5">
        <v>11.69</v>
      </c>
      <c r="I24" s="5">
        <v>49</v>
      </c>
      <c r="J24" s="5">
        <v>23.700000000000003</v>
      </c>
      <c r="K24" s="5">
        <v>31.65</v>
      </c>
      <c r="L24" s="5">
        <v>27.599999999999998</v>
      </c>
      <c r="M24" s="5">
        <v>61.16</v>
      </c>
      <c r="N24" s="5">
        <v>18.419999999999998</v>
      </c>
      <c r="O24" s="5">
        <v>9.51</v>
      </c>
      <c r="P24" s="5">
        <v>1.6</v>
      </c>
      <c r="Q24" s="5">
        <v>4.9000000000000004</v>
      </c>
      <c r="R24" s="5">
        <v>24.700000000000003</v>
      </c>
      <c r="S24" s="5">
        <v>98.100003000000001</v>
      </c>
      <c r="T24" s="5">
        <v>41.2</v>
      </c>
      <c r="U24" s="22">
        <f>5*1.3</f>
        <v>6.5</v>
      </c>
      <c r="V24" s="22">
        <v>0</v>
      </c>
      <c r="W24" s="5">
        <v>0</v>
      </c>
    </row>
    <row r="25" spans="1:23">
      <c r="A25" s="11">
        <v>91</v>
      </c>
      <c r="B25" s="5" t="s">
        <v>18</v>
      </c>
      <c r="C25" s="5">
        <f>23*1.726087</f>
        <v>39.700001</v>
      </c>
      <c r="D25" s="5">
        <v>17.60004</v>
      </c>
      <c r="E25" s="5">
        <v>16.103999999999999</v>
      </c>
      <c r="F25" s="5">
        <v>29.700000000000003</v>
      </c>
      <c r="G25" s="5">
        <v>8.52</v>
      </c>
      <c r="H25" s="5">
        <v>11.58</v>
      </c>
      <c r="I25" s="5">
        <v>28.84</v>
      </c>
      <c r="J25" s="5">
        <v>21.24</v>
      </c>
      <c r="K25" s="5">
        <v>38.880000000000003</v>
      </c>
      <c r="L25" s="5">
        <v>32.5</v>
      </c>
      <c r="M25" s="5">
        <v>44.37</v>
      </c>
      <c r="N25" s="5">
        <v>21.200000000000003</v>
      </c>
      <c r="O25" s="5">
        <v>10.199999999999999</v>
      </c>
      <c r="P25" s="5">
        <v>1.6</v>
      </c>
      <c r="Q25" s="5">
        <v>8.0000099999999996</v>
      </c>
      <c r="R25" s="5">
        <v>10.400001</v>
      </c>
      <c r="S25" s="5">
        <v>7.8</v>
      </c>
      <c r="T25" s="5">
        <v>5.4</v>
      </c>
      <c r="U25" s="5">
        <v>0</v>
      </c>
      <c r="V25" s="5">
        <f>19*2.642105</f>
        <v>50.199995000000001</v>
      </c>
      <c r="W25" s="22">
        <f>2*2.4</f>
        <v>4.8</v>
      </c>
    </row>
    <row r="26" spans="1:23">
      <c r="A26" s="11">
        <v>92</v>
      </c>
      <c r="B26" s="5" t="s">
        <v>19</v>
      </c>
      <c r="C26" s="5">
        <f>27*1.759259</f>
        <v>47.499992999999996</v>
      </c>
      <c r="D26" s="5">
        <v>23.299995000000003</v>
      </c>
      <c r="E26" s="5">
        <v>40.305999999999997</v>
      </c>
      <c r="F26" s="5">
        <v>23.17</v>
      </c>
      <c r="G26" s="5">
        <v>11.270000000000001</v>
      </c>
      <c r="H26" s="5">
        <v>11.12</v>
      </c>
      <c r="I26" s="5">
        <v>41.76</v>
      </c>
      <c r="J26" s="5">
        <v>23.6</v>
      </c>
      <c r="K26" s="5">
        <v>15.78</v>
      </c>
      <c r="L26" s="5">
        <v>9</v>
      </c>
      <c r="M26" s="5">
        <v>39.449999999999996</v>
      </c>
      <c r="N26" s="5">
        <v>15.120000000000001</v>
      </c>
      <c r="O26" s="5">
        <v>13.379999999999999</v>
      </c>
      <c r="P26" s="5">
        <v>4.4000000000000004</v>
      </c>
      <c r="Q26" s="5">
        <v>15</v>
      </c>
      <c r="R26" s="5">
        <v>32.9</v>
      </c>
      <c r="S26" s="5">
        <v>22.9</v>
      </c>
      <c r="T26" s="5">
        <v>13.3</v>
      </c>
      <c r="U26" s="5">
        <v>0</v>
      </c>
      <c r="V26" s="5">
        <v>0</v>
      </c>
      <c r="W26" s="5">
        <v>0</v>
      </c>
    </row>
    <row r="27" spans="1:23">
      <c r="A27" s="11">
        <v>93</v>
      </c>
      <c r="B27" s="5" t="s">
        <v>20</v>
      </c>
      <c r="C27" s="5">
        <f>45*2.226667</f>
        <v>100.20001499999999</v>
      </c>
      <c r="D27" s="5">
        <v>58.599999999999994</v>
      </c>
      <c r="E27" s="5">
        <v>16.8</v>
      </c>
      <c r="F27" s="5">
        <v>28.049999999999997</v>
      </c>
      <c r="G27" s="5">
        <v>37.520000000000003</v>
      </c>
      <c r="H27" s="5">
        <v>16.59</v>
      </c>
      <c r="I27" s="5">
        <v>45.76</v>
      </c>
      <c r="J27" s="5">
        <v>49.320000000000007</v>
      </c>
      <c r="K27" s="5">
        <v>25.09</v>
      </c>
      <c r="L27" s="5">
        <v>23.7</v>
      </c>
      <c r="M27" s="5">
        <v>29.700000000000003</v>
      </c>
      <c r="N27" s="5">
        <v>15.89</v>
      </c>
      <c r="O27" s="5">
        <v>18.600000000000001</v>
      </c>
      <c r="P27" s="5">
        <v>1.6</v>
      </c>
      <c r="Q27" s="5">
        <v>4.8000000000000007</v>
      </c>
      <c r="R27" s="5">
        <v>3.4</v>
      </c>
      <c r="S27" s="5">
        <v>5.6999999999999993</v>
      </c>
      <c r="T27" s="5">
        <v>19.100003999999998</v>
      </c>
      <c r="U27" s="5">
        <v>0</v>
      </c>
      <c r="V27" s="5">
        <v>5</v>
      </c>
      <c r="W27" s="5">
        <v>0</v>
      </c>
    </row>
    <row r="28" spans="1:23">
      <c r="A28" s="11">
        <v>94</v>
      </c>
      <c r="B28" s="5" t="s">
        <v>21</v>
      </c>
      <c r="C28" s="5">
        <f>16*2.01875</f>
        <v>32.299999999999997</v>
      </c>
      <c r="D28" s="5">
        <v>20.000001000000001</v>
      </c>
      <c r="E28" s="5">
        <v>40.508000000000003</v>
      </c>
      <c r="F28" s="5">
        <v>27.5</v>
      </c>
      <c r="G28" s="5">
        <v>27.6</v>
      </c>
      <c r="H28" s="5">
        <v>16.079999999999998</v>
      </c>
      <c r="I28" s="5">
        <v>37.050000000000004</v>
      </c>
      <c r="J28" s="5">
        <v>30.14</v>
      </c>
      <c r="K28" s="5">
        <v>14</v>
      </c>
      <c r="L28" s="5">
        <v>9.120000000000001</v>
      </c>
      <c r="M28" s="5">
        <v>38.1</v>
      </c>
      <c r="N28" s="5">
        <v>8</v>
      </c>
      <c r="O28" s="5">
        <v>4.9000000000000004</v>
      </c>
      <c r="P28" s="5">
        <v>2.6</v>
      </c>
      <c r="Q28" s="5">
        <v>16</v>
      </c>
      <c r="R28" s="5">
        <v>1</v>
      </c>
      <c r="S28" s="5">
        <v>8.6</v>
      </c>
      <c r="T28" s="5">
        <v>16.599999999999998</v>
      </c>
      <c r="U28" s="22">
        <f>4.6</f>
        <v>4.5999999999999996</v>
      </c>
      <c r="V28" s="5">
        <v>2</v>
      </c>
      <c r="W28" s="5">
        <v>3</v>
      </c>
    </row>
    <row r="29" spans="1:23">
      <c r="A29" s="11">
        <v>95</v>
      </c>
      <c r="B29" s="5" t="s">
        <v>22</v>
      </c>
      <c r="C29" s="5">
        <f>26*2.211538</f>
        <v>57.499988000000002</v>
      </c>
      <c r="D29" s="5">
        <v>53.800001999999999</v>
      </c>
      <c r="E29" s="5">
        <v>29.204999999999998</v>
      </c>
      <c r="F29" s="5">
        <v>42.24</v>
      </c>
      <c r="G29" s="5">
        <v>37.5</v>
      </c>
      <c r="H29" s="5">
        <v>23.27</v>
      </c>
      <c r="I29" s="5">
        <v>44.64</v>
      </c>
      <c r="J29" s="5">
        <v>71.3</v>
      </c>
      <c r="K29" s="5">
        <v>17.91</v>
      </c>
      <c r="L29" s="5">
        <v>53.46</v>
      </c>
      <c r="M29" s="5">
        <v>51.4</v>
      </c>
      <c r="N29" s="5">
        <v>11.32</v>
      </c>
      <c r="O29" s="5">
        <v>12.48</v>
      </c>
      <c r="P29" s="5">
        <v>8.7999989999999997</v>
      </c>
      <c r="Q29" s="5">
        <v>7.8000000000000007</v>
      </c>
      <c r="R29" s="5">
        <v>2.9</v>
      </c>
      <c r="S29" s="5">
        <v>1.9</v>
      </c>
      <c r="T29" s="5">
        <v>11.899999999999999</v>
      </c>
      <c r="U29" s="22">
        <f>6</f>
        <v>6</v>
      </c>
      <c r="V29" s="5">
        <v>0</v>
      </c>
      <c r="W29" s="5">
        <v>1.9</v>
      </c>
    </row>
    <row r="30" spans="1:23">
      <c r="A30" s="11">
        <v>100</v>
      </c>
      <c r="B30" s="5" t="s">
        <v>23</v>
      </c>
      <c r="C30" s="5">
        <f>58*1.948276</f>
        <v>113.00000799999999</v>
      </c>
      <c r="D30" s="5">
        <v>142.40001600000002</v>
      </c>
      <c r="E30" s="5">
        <v>157.876</v>
      </c>
      <c r="F30" s="5">
        <v>130.19999999999999</v>
      </c>
      <c r="G30" s="5">
        <v>153.9</v>
      </c>
      <c r="H30" s="5">
        <v>152.28</v>
      </c>
      <c r="I30" s="5">
        <v>106.21000000000001</v>
      </c>
      <c r="J30" s="5">
        <v>123.30999999999999</v>
      </c>
      <c r="K30" s="5">
        <v>113.99999999999999</v>
      </c>
      <c r="L30" s="5">
        <v>77.61</v>
      </c>
      <c r="M30" s="5">
        <v>119.76999999999998</v>
      </c>
      <c r="N30" s="5">
        <v>144.89999999999998</v>
      </c>
      <c r="O30" s="5">
        <v>88.320000000000007</v>
      </c>
      <c r="P30" s="5">
        <v>66.899997999999997</v>
      </c>
      <c r="Q30" s="5">
        <v>52.600007999999995</v>
      </c>
      <c r="R30" s="5">
        <v>95.4</v>
      </c>
      <c r="S30" s="5">
        <v>106.29998400000001</v>
      </c>
      <c r="T30" s="5">
        <v>195.09997999999999</v>
      </c>
      <c r="U30" s="22">
        <f>29*2.189655</f>
        <v>63.499995000000006</v>
      </c>
      <c r="V30" s="22">
        <f>21*2.590476</f>
        <v>54.399995999999994</v>
      </c>
      <c r="W30" s="22">
        <f>13*2.576923</f>
        <v>33.499998999999995</v>
      </c>
    </row>
    <row r="31" spans="1:23">
      <c r="A31" s="11">
        <v>101</v>
      </c>
      <c r="B31" s="5" t="s">
        <v>24</v>
      </c>
      <c r="C31" s="5">
        <f>75*2.356</f>
        <v>176.7</v>
      </c>
      <c r="D31" s="5">
        <v>154.599986</v>
      </c>
      <c r="E31" s="5">
        <v>75.210000000000008</v>
      </c>
      <c r="F31" s="5">
        <v>101.64</v>
      </c>
      <c r="G31" s="5">
        <v>91.84</v>
      </c>
      <c r="H31" s="5">
        <v>102.06</v>
      </c>
      <c r="I31" s="5">
        <v>129.48000000000002</v>
      </c>
      <c r="J31" s="5">
        <v>163.53</v>
      </c>
      <c r="K31" s="5">
        <v>141.51999999999998</v>
      </c>
      <c r="L31" s="5">
        <v>172.28</v>
      </c>
      <c r="M31" s="5">
        <v>230.84</v>
      </c>
      <c r="N31" s="5">
        <v>176.79</v>
      </c>
      <c r="O31" s="5">
        <v>146.28</v>
      </c>
      <c r="P31" s="5">
        <v>112.300014</v>
      </c>
      <c r="Q31" s="5">
        <v>92.40001199999999</v>
      </c>
      <c r="R31" s="5">
        <v>260.29998000000001</v>
      </c>
      <c r="S31" s="5">
        <v>424.50003000000004</v>
      </c>
      <c r="T31" s="5">
        <v>224.69998200000001</v>
      </c>
      <c r="U31" s="22">
        <f>54*2.722222</f>
        <v>146.999988</v>
      </c>
      <c r="V31" s="22">
        <f>26*2.526923</f>
        <v>65.699997999999994</v>
      </c>
      <c r="W31" s="22">
        <f>13*1.969231</f>
        <v>25.600003000000001</v>
      </c>
    </row>
    <row r="32" spans="1:23">
      <c r="A32" s="11">
        <v>110</v>
      </c>
      <c r="B32" s="5" t="s">
        <v>25</v>
      </c>
      <c r="C32" s="5">
        <f>5*2.74</f>
        <v>13.700000000000001</v>
      </c>
      <c r="D32" s="5">
        <v>6</v>
      </c>
      <c r="E32" s="5">
        <v>0</v>
      </c>
      <c r="F32" s="5">
        <v>2.2000000000000002</v>
      </c>
      <c r="G32" s="5">
        <v>6.8100000000000005</v>
      </c>
      <c r="H32" s="5">
        <v>27</v>
      </c>
      <c r="I32" s="5">
        <v>5.8</v>
      </c>
      <c r="J32" s="5">
        <v>9.5</v>
      </c>
      <c r="K32" s="5">
        <v>0</v>
      </c>
      <c r="L32" s="5">
        <v>3.8</v>
      </c>
      <c r="M32" s="5">
        <v>13.229999999999999</v>
      </c>
      <c r="N32" s="5">
        <v>0</v>
      </c>
      <c r="O32" s="5">
        <v>0</v>
      </c>
      <c r="P32" s="5">
        <v>0</v>
      </c>
      <c r="Q32" s="5">
        <v>0</v>
      </c>
      <c r="R32" s="5">
        <v>11.399999999999999</v>
      </c>
      <c r="S32" s="5">
        <v>6.2</v>
      </c>
      <c r="T32" s="5">
        <v>8.8000000000000007</v>
      </c>
      <c r="U32" s="5">
        <v>0</v>
      </c>
      <c r="V32" s="5">
        <v>0</v>
      </c>
      <c r="W32" s="5">
        <v>0</v>
      </c>
    </row>
    <row r="33" spans="1:23">
      <c r="A33" s="11">
        <v>115</v>
      </c>
      <c r="B33" s="5" t="s">
        <v>26</v>
      </c>
      <c r="C33" s="5">
        <v>1.6</v>
      </c>
      <c r="D33" s="5">
        <v>1.9</v>
      </c>
      <c r="E33" s="5">
        <v>24.504000000000001</v>
      </c>
      <c r="F33" s="5">
        <v>1</v>
      </c>
      <c r="G33" s="5">
        <v>4</v>
      </c>
      <c r="H33" s="5">
        <v>21</v>
      </c>
      <c r="I33" s="5">
        <v>4.59</v>
      </c>
      <c r="J33" s="5">
        <v>15.6</v>
      </c>
      <c r="K33" s="5">
        <v>4.9000000000000004</v>
      </c>
      <c r="L33" s="5">
        <v>3</v>
      </c>
      <c r="M33" s="5">
        <v>8.89</v>
      </c>
      <c r="N33" s="5">
        <v>0</v>
      </c>
      <c r="O33" s="5">
        <v>0</v>
      </c>
      <c r="P33" s="5">
        <v>0</v>
      </c>
      <c r="Q33" s="5">
        <v>3</v>
      </c>
      <c r="R33" s="5">
        <v>0</v>
      </c>
      <c r="S33" s="5">
        <v>0.6</v>
      </c>
      <c r="T33" s="5">
        <v>1.9</v>
      </c>
      <c r="U33" s="5">
        <v>0</v>
      </c>
      <c r="V33" s="5">
        <v>0</v>
      </c>
      <c r="W33" s="5">
        <v>0</v>
      </c>
    </row>
    <row r="34" spans="1:23">
      <c r="A34" s="11">
        <v>130</v>
      </c>
      <c r="B34" s="5" t="s">
        <v>27</v>
      </c>
      <c r="C34" s="5">
        <f>26*2.353846</f>
        <v>61.199995999999999</v>
      </c>
      <c r="D34" s="5">
        <v>27.799999999999997</v>
      </c>
      <c r="E34" s="5">
        <v>50.0137</v>
      </c>
      <c r="F34" s="5">
        <v>44.65</v>
      </c>
      <c r="G34" s="5">
        <v>38.479999999999997</v>
      </c>
      <c r="H34" s="5">
        <v>51.599999999999994</v>
      </c>
      <c r="I34" s="5">
        <v>11.28</v>
      </c>
      <c r="J34" s="5">
        <v>16.100000000000001</v>
      </c>
      <c r="K34" s="5">
        <v>48.300000000000004</v>
      </c>
      <c r="L34" s="5">
        <v>47.15</v>
      </c>
      <c r="M34" s="5">
        <v>45.03</v>
      </c>
      <c r="N34" s="5">
        <v>62.64</v>
      </c>
      <c r="O34" s="5">
        <v>38.25</v>
      </c>
      <c r="P34" s="5">
        <v>25.599999599999997</v>
      </c>
      <c r="Q34" s="5">
        <v>12.300003</v>
      </c>
      <c r="R34" s="5">
        <v>4.9000000000000004</v>
      </c>
      <c r="S34" s="5">
        <v>55.299992000000003</v>
      </c>
      <c r="T34" s="5">
        <v>9.5</v>
      </c>
      <c r="U34" s="22">
        <f>9*2.5</f>
        <v>22.5</v>
      </c>
      <c r="V34" s="22">
        <f>9*2.677778</f>
        <v>24.100002</v>
      </c>
      <c r="W34" s="5">
        <v>2.8</v>
      </c>
    </row>
    <row r="35" spans="1:23">
      <c r="A35" s="11">
        <v>135</v>
      </c>
      <c r="B35" s="5" t="s">
        <v>28</v>
      </c>
      <c r="C35" s="5">
        <f>32*1.971875</f>
        <v>63.1</v>
      </c>
      <c r="D35" s="5">
        <v>80.299992000000003</v>
      </c>
      <c r="E35" s="5">
        <v>60.895999999999994</v>
      </c>
      <c r="F35" s="5">
        <v>66.959999999999994</v>
      </c>
      <c r="G35" s="5">
        <v>76.2</v>
      </c>
      <c r="H35" s="5">
        <v>134.75</v>
      </c>
      <c r="I35" s="5">
        <v>136.08000000000001</v>
      </c>
      <c r="J35" s="5">
        <v>170.94000000000003</v>
      </c>
      <c r="K35" s="5">
        <v>73.92</v>
      </c>
      <c r="L35" s="5">
        <v>38.76</v>
      </c>
      <c r="M35" s="5">
        <v>57.6</v>
      </c>
      <c r="N35" s="5">
        <v>93.149999999999991</v>
      </c>
      <c r="O35" s="5">
        <v>84.48</v>
      </c>
      <c r="P35" s="5">
        <v>31.499997</v>
      </c>
      <c r="Q35" s="5">
        <v>31.900006999999999</v>
      </c>
      <c r="R35" s="5">
        <v>121</v>
      </c>
      <c r="S35" s="5">
        <v>71.399988000000008</v>
      </c>
      <c r="T35" s="5">
        <v>57.599999999999994</v>
      </c>
      <c r="U35" s="22">
        <f>9*2.555556</f>
        <v>23.000004000000001</v>
      </c>
      <c r="V35" s="22">
        <f>7*2.285714</f>
        <v>15.999998</v>
      </c>
      <c r="W35" s="5">
        <v>6.4</v>
      </c>
    </row>
    <row r="36" spans="1:23">
      <c r="A36" s="11">
        <v>140</v>
      </c>
      <c r="B36" s="5" t="s">
        <v>29</v>
      </c>
      <c r="C36" s="5">
        <f>81*2.196296</f>
        <v>177.89997599999998</v>
      </c>
      <c r="D36" s="5">
        <v>209.70003800000001</v>
      </c>
      <c r="E36" s="5">
        <v>188.774</v>
      </c>
      <c r="F36" s="5">
        <v>251.64000000000001</v>
      </c>
      <c r="G36" s="5">
        <v>301.27999999999997</v>
      </c>
      <c r="H36" s="5">
        <v>332.32</v>
      </c>
      <c r="I36" s="5">
        <v>342.2</v>
      </c>
      <c r="J36" s="5">
        <v>309.59999999999997</v>
      </c>
      <c r="K36" s="5">
        <v>395.15999999999997</v>
      </c>
      <c r="L36" s="5">
        <v>315</v>
      </c>
      <c r="M36" s="5">
        <v>229.69</v>
      </c>
      <c r="N36" s="5">
        <v>219.23999999999998</v>
      </c>
      <c r="O36" s="5">
        <v>193.2</v>
      </c>
      <c r="P36" s="5">
        <v>144.89997500000001</v>
      </c>
      <c r="Q36" s="5">
        <v>191.49998499999998</v>
      </c>
      <c r="R36" s="5">
        <v>250.30004400000001</v>
      </c>
      <c r="S36" s="5">
        <v>394.49994300000003</v>
      </c>
      <c r="T36" s="5">
        <v>278.500044</v>
      </c>
      <c r="U36" s="22">
        <f>64*2.1125</f>
        <v>135.19999999999999</v>
      </c>
      <c r="V36" s="22">
        <f>68*2.110294</f>
        <v>143.49999200000002</v>
      </c>
      <c r="W36" s="22">
        <f>40*2.61</f>
        <v>104.39999999999999</v>
      </c>
    </row>
    <row r="37" spans="1:23">
      <c r="A37" s="11">
        <v>145</v>
      </c>
      <c r="B37" s="5" t="s">
        <v>30</v>
      </c>
      <c r="C37" s="5">
        <f>12*1.825</f>
        <v>21.9</v>
      </c>
      <c r="D37" s="5">
        <v>22.799997000000001</v>
      </c>
      <c r="E37" s="5">
        <v>38.103000000000002</v>
      </c>
      <c r="F37" s="5">
        <v>12.46</v>
      </c>
      <c r="G37" s="5">
        <v>27.900000000000002</v>
      </c>
      <c r="H37" s="5">
        <v>38.700000000000003</v>
      </c>
      <c r="I37" s="5">
        <v>52.400000000000006</v>
      </c>
      <c r="J37" s="5">
        <v>24.12</v>
      </c>
      <c r="K37" s="5">
        <v>10.32</v>
      </c>
      <c r="L37" s="5">
        <v>8.1000000000000014</v>
      </c>
      <c r="M37" s="5">
        <v>13.6</v>
      </c>
      <c r="N37" s="5">
        <v>14.6</v>
      </c>
      <c r="O37" s="5">
        <v>8.879999999999999</v>
      </c>
      <c r="P37" s="5">
        <v>9.7000020000000013</v>
      </c>
      <c r="Q37" s="5">
        <v>15.7</v>
      </c>
      <c r="R37" s="5">
        <v>18.399999999999999</v>
      </c>
      <c r="S37" s="5">
        <v>124.99997300000001</v>
      </c>
      <c r="T37" s="5">
        <v>55.800000000000004</v>
      </c>
      <c r="U37" s="5">
        <v>21.2</v>
      </c>
      <c r="V37" s="5">
        <v>2.9</v>
      </c>
      <c r="W37" s="5">
        <v>0</v>
      </c>
    </row>
    <row r="38" spans="1:23">
      <c r="A38" s="11">
        <v>150</v>
      </c>
      <c r="B38" s="5" t="s">
        <v>31</v>
      </c>
      <c r="C38" s="5">
        <f>17*1.394118</f>
        <v>23.700005999999998</v>
      </c>
      <c r="D38" s="5">
        <v>19.5</v>
      </c>
      <c r="E38" s="5">
        <v>9.3999999999999986</v>
      </c>
      <c r="F38" s="5">
        <v>8.6</v>
      </c>
      <c r="G38" s="5">
        <v>23.669999999999998</v>
      </c>
      <c r="H38" s="5">
        <v>14</v>
      </c>
      <c r="I38" s="5">
        <v>13</v>
      </c>
      <c r="J38" s="5">
        <v>23.6</v>
      </c>
      <c r="K38" s="5">
        <v>11.52</v>
      </c>
      <c r="L38" s="5">
        <v>21.6</v>
      </c>
      <c r="M38" s="5">
        <v>12.299999999999999</v>
      </c>
      <c r="N38" s="5">
        <v>8.1999999999999993</v>
      </c>
      <c r="O38" s="5">
        <v>2.6</v>
      </c>
      <c r="P38" s="5">
        <v>15</v>
      </c>
      <c r="Q38" s="5">
        <v>17.300003</v>
      </c>
      <c r="R38" s="5">
        <v>6.6000000000000005</v>
      </c>
      <c r="S38" s="5">
        <v>5.98</v>
      </c>
      <c r="T38" s="5">
        <v>5.8</v>
      </c>
      <c r="U38" s="5">
        <v>4</v>
      </c>
      <c r="V38" s="5">
        <v>0</v>
      </c>
      <c r="W38" s="5">
        <v>1.9</v>
      </c>
    </row>
    <row r="39" spans="1:23">
      <c r="A39" s="11">
        <v>155</v>
      </c>
      <c r="B39" s="5" t="s">
        <v>32</v>
      </c>
      <c r="C39" s="5">
        <f>41*2.714634</f>
        <v>111.29999400000001</v>
      </c>
      <c r="D39" s="5">
        <v>105.90002100000001</v>
      </c>
      <c r="E39" s="5">
        <v>139.59</v>
      </c>
      <c r="F39" s="5">
        <v>99.54</v>
      </c>
      <c r="G39" s="5">
        <v>143.47999999999999</v>
      </c>
      <c r="H39" s="5">
        <v>153.29999999999998</v>
      </c>
      <c r="I39" s="5">
        <v>200.20000000000002</v>
      </c>
      <c r="J39" s="5">
        <v>200.25</v>
      </c>
      <c r="K39" s="5">
        <v>202.03</v>
      </c>
      <c r="L39" s="5">
        <v>136.96</v>
      </c>
      <c r="M39" s="5">
        <v>160.06</v>
      </c>
      <c r="N39" s="5">
        <v>98.88</v>
      </c>
      <c r="O39" s="5">
        <v>111.96</v>
      </c>
      <c r="P39" s="5">
        <v>50.500001999999995</v>
      </c>
      <c r="Q39" s="5">
        <v>47.199995999999999</v>
      </c>
      <c r="R39" s="5">
        <v>152.899992</v>
      </c>
      <c r="S39" s="5">
        <v>159.89998900000001</v>
      </c>
      <c r="T39" s="5">
        <v>77.599995000000007</v>
      </c>
      <c r="U39" s="5">
        <v>34.5</v>
      </c>
      <c r="V39" s="22">
        <f>9*2.144444</f>
        <v>19.299996</v>
      </c>
      <c r="W39" s="22">
        <f>12*2.141667</f>
        <v>25.700004</v>
      </c>
    </row>
    <row r="40" spans="1:23">
      <c r="A40" s="11">
        <v>160</v>
      </c>
      <c r="B40" s="5" t="s">
        <v>33</v>
      </c>
      <c r="C40" s="5">
        <f>72*2.076389</f>
        <v>149.50000799999998</v>
      </c>
      <c r="D40" s="5">
        <v>103.29998399999999</v>
      </c>
      <c r="E40" s="5">
        <v>172.70699999999999</v>
      </c>
      <c r="F40" s="5">
        <v>135</v>
      </c>
      <c r="G40" s="5">
        <v>224.73</v>
      </c>
      <c r="H40" s="5">
        <v>245.6</v>
      </c>
      <c r="I40" s="5">
        <v>302.28000000000003</v>
      </c>
      <c r="J40" s="5">
        <v>321.3</v>
      </c>
      <c r="K40" s="5">
        <v>278.45999999999998</v>
      </c>
      <c r="L40" s="5">
        <v>221.34</v>
      </c>
      <c r="M40" s="5">
        <v>215.76</v>
      </c>
      <c r="N40" s="5">
        <v>246.44</v>
      </c>
      <c r="O40" s="5">
        <v>135.29999999999998</v>
      </c>
      <c r="P40" s="5">
        <v>66.200003000000009</v>
      </c>
      <c r="Q40" s="5">
        <v>131.800005</v>
      </c>
      <c r="R40" s="5">
        <v>83.299987000000002</v>
      </c>
      <c r="S40" s="5">
        <v>81</v>
      </c>
      <c r="T40" s="5">
        <v>30.9</v>
      </c>
      <c r="U40" s="22">
        <f>14*2.6</f>
        <v>36.4</v>
      </c>
      <c r="V40" s="5">
        <v>17.7</v>
      </c>
      <c r="W40" s="22">
        <f>4*1.825</f>
        <v>7.3</v>
      </c>
    </row>
    <row r="41" spans="1:23">
      <c r="A41" s="11">
        <v>165</v>
      </c>
      <c r="B41" s="5" t="s">
        <v>34</v>
      </c>
      <c r="C41" s="5">
        <f>27*1.737037</f>
        <v>46.899999000000001</v>
      </c>
      <c r="D41" s="5">
        <v>37.300005000000006</v>
      </c>
      <c r="E41" s="5">
        <v>13.097999999999999</v>
      </c>
      <c r="F41" s="5">
        <v>24.076000000000001</v>
      </c>
      <c r="G41" s="5">
        <v>27.689999999999998</v>
      </c>
      <c r="H41" s="5">
        <v>15.48</v>
      </c>
      <c r="I41" s="5">
        <v>32.450000000000003</v>
      </c>
      <c r="J41" s="5">
        <v>11.82</v>
      </c>
      <c r="K41" s="5">
        <v>11.5</v>
      </c>
      <c r="L41" s="5">
        <v>15.32</v>
      </c>
      <c r="M41" s="5">
        <v>24.6</v>
      </c>
      <c r="N41" s="5">
        <v>14.489999999999998</v>
      </c>
      <c r="O41" s="5">
        <v>37.89</v>
      </c>
      <c r="P41" s="5">
        <v>20.300039999999999</v>
      </c>
      <c r="Q41" s="5">
        <v>47.1</v>
      </c>
      <c r="R41" s="5">
        <v>16.8</v>
      </c>
      <c r="S41" s="5">
        <v>11.399999999999999</v>
      </c>
      <c r="T41" s="5">
        <v>24.500003</v>
      </c>
      <c r="U41" s="5">
        <v>4</v>
      </c>
      <c r="V41" s="5">
        <v>0</v>
      </c>
      <c r="W41" s="5">
        <v>3</v>
      </c>
    </row>
    <row r="42" spans="1:23">
      <c r="A42" s="11">
        <v>200</v>
      </c>
      <c r="B42" s="5" t="s">
        <v>35</v>
      </c>
      <c r="C42" s="5">
        <f>537*2.322533</f>
        <v>1247.2002210000001</v>
      </c>
      <c r="D42" s="5">
        <v>1658.3000400000001</v>
      </c>
      <c r="E42" s="5">
        <v>1592.662</v>
      </c>
      <c r="F42" s="5">
        <v>1728.8600000000001</v>
      </c>
      <c r="G42" s="5">
        <v>2091.98</v>
      </c>
      <c r="H42" s="5">
        <v>1735.02</v>
      </c>
      <c r="I42" s="5">
        <v>1821.6</v>
      </c>
      <c r="J42" s="5">
        <v>2045</v>
      </c>
      <c r="K42" s="5">
        <v>2006.2899999999997</v>
      </c>
      <c r="L42" s="5">
        <v>1644.58</v>
      </c>
      <c r="M42" s="5">
        <v>1689.6</v>
      </c>
      <c r="N42" s="5">
        <v>1285.2</v>
      </c>
      <c r="O42" s="5">
        <v>1110.78</v>
      </c>
      <c r="P42" s="5">
        <v>1070.800029</v>
      </c>
      <c r="Q42" s="5">
        <v>767.79998399999999</v>
      </c>
      <c r="R42" s="5">
        <v>1520.4998680000001</v>
      </c>
      <c r="S42" s="5">
        <v>1918.3004100000001</v>
      </c>
      <c r="T42" s="5">
        <v>1407.1998570000001</v>
      </c>
      <c r="U42" s="22">
        <f>148*2.262162</f>
        <v>334.79997600000002</v>
      </c>
      <c r="V42" s="22">
        <v>277.60000000000002</v>
      </c>
      <c r="W42" s="22">
        <f>99*2.272727</f>
        <v>224.99997300000001</v>
      </c>
    </row>
    <row r="43" spans="1:23">
      <c r="A43" s="11">
        <v>205</v>
      </c>
      <c r="B43" s="5" t="s">
        <v>36</v>
      </c>
      <c r="C43" s="5">
        <f>46*2.041304</f>
        <v>93.899983999999989</v>
      </c>
      <c r="D43" s="5">
        <v>97.800005999999996</v>
      </c>
      <c r="E43" s="5">
        <v>85.294999999999987</v>
      </c>
      <c r="F43" s="5">
        <v>190.32</v>
      </c>
      <c r="G43" s="5">
        <v>203.30999999999997</v>
      </c>
      <c r="H43" s="5">
        <v>167.48000000000002</v>
      </c>
      <c r="I43" s="5">
        <v>202.1</v>
      </c>
      <c r="J43" s="5">
        <v>98.12</v>
      </c>
      <c r="K43" s="5">
        <v>153.98999999999998</v>
      </c>
      <c r="L43" s="5">
        <v>128.24</v>
      </c>
      <c r="M43" s="5">
        <v>127.2</v>
      </c>
      <c r="N43" s="5">
        <v>106.79</v>
      </c>
      <c r="O43" s="5">
        <v>88.2</v>
      </c>
      <c r="P43" s="5">
        <v>42.599994000000002</v>
      </c>
      <c r="Q43" s="5">
        <v>48.2</v>
      </c>
      <c r="R43" s="5">
        <v>80.400000999999989</v>
      </c>
      <c r="S43" s="5">
        <v>100.40001600000001</v>
      </c>
      <c r="T43" s="5">
        <v>60.000008000000001</v>
      </c>
      <c r="U43" s="22">
        <f>8*1.9125</f>
        <v>15.3</v>
      </c>
      <c r="V43" s="22">
        <f>9*1.455556</f>
        <v>13.100004</v>
      </c>
      <c r="W43" s="22">
        <f>6*2.016667</f>
        <v>12.100002</v>
      </c>
    </row>
    <row r="44" spans="1:23">
      <c r="A44" s="11">
        <v>210</v>
      </c>
      <c r="B44" s="5" t="s">
        <v>37</v>
      </c>
      <c r="C44" s="5">
        <f>92*2.456522</f>
        <v>226.000024</v>
      </c>
      <c r="D44" s="5">
        <v>319.70007999999996</v>
      </c>
      <c r="E44" s="5">
        <v>297.995</v>
      </c>
      <c r="F44" s="5">
        <v>341.35999999999996</v>
      </c>
      <c r="G44" s="5">
        <v>424.08</v>
      </c>
      <c r="H44" s="5">
        <v>442.5</v>
      </c>
      <c r="I44" s="5">
        <v>495.55</v>
      </c>
      <c r="J44" s="5">
        <v>549.78</v>
      </c>
      <c r="K44" s="5">
        <v>523.53</v>
      </c>
      <c r="L44" s="5">
        <v>590.79999999999995</v>
      </c>
      <c r="M44" s="5">
        <v>503.01000000000005</v>
      </c>
      <c r="N44" s="5">
        <v>499.2</v>
      </c>
      <c r="O44" s="5">
        <v>357.68</v>
      </c>
      <c r="P44" s="5">
        <v>268.59998000000002</v>
      </c>
      <c r="Q44" s="5">
        <v>244.699972</v>
      </c>
      <c r="R44" s="5">
        <v>287.40000000000003</v>
      </c>
      <c r="S44" s="5">
        <v>237</v>
      </c>
      <c r="T44" s="5">
        <v>146.10002</v>
      </c>
      <c r="U44" s="22">
        <v>77.2</v>
      </c>
      <c r="V44" s="22">
        <f>18*2.872222</f>
        <v>51.699995999999999</v>
      </c>
      <c r="W44" s="22">
        <f>11*2.381818</f>
        <v>26.199998000000001</v>
      </c>
    </row>
    <row r="45" spans="1:23">
      <c r="A45" s="11">
        <v>211</v>
      </c>
      <c r="B45" s="5" t="s">
        <v>38</v>
      </c>
      <c r="C45" s="5">
        <f>87*2.768966</f>
        <v>240.90004199999998</v>
      </c>
      <c r="D45" s="5">
        <v>275.59999399999998</v>
      </c>
      <c r="E45" s="5">
        <v>240.12500000000003</v>
      </c>
      <c r="F45" s="5">
        <v>309.61999999999995</v>
      </c>
      <c r="G45" s="5">
        <v>376.54</v>
      </c>
      <c r="H45" s="5">
        <v>336</v>
      </c>
      <c r="I45" s="5">
        <v>303.24</v>
      </c>
      <c r="J45" s="5">
        <v>393.68</v>
      </c>
      <c r="K45" s="5">
        <v>281.60000000000002</v>
      </c>
      <c r="L45" s="5">
        <v>309.52</v>
      </c>
      <c r="M45" s="5">
        <v>249.48</v>
      </c>
      <c r="N45" s="5">
        <v>323.3</v>
      </c>
      <c r="O45" s="5">
        <v>162.52000000000001</v>
      </c>
      <c r="P45" s="5">
        <v>132.79999000000001</v>
      </c>
      <c r="Q45" s="5">
        <v>75.399996000000002</v>
      </c>
      <c r="R45" s="5">
        <v>234.19995600000001</v>
      </c>
      <c r="S45" s="5">
        <v>103.30002</v>
      </c>
      <c r="T45" s="5">
        <v>127.89999999999999</v>
      </c>
      <c r="U45" s="5">
        <v>27.7</v>
      </c>
      <c r="V45" s="22">
        <f>7*2.471429</f>
        <v>17.300003</v>
      </c>
      <c r="W45" s="22">
        <f>5*2.7</f>
        <v>13.5</v>
      </c>
    </row>
    <row r="46" spans="1:23">
      <c r="A46" s="11">
        <v>212</v>
      </c>
      <c r="B46" s="5" t="s">
        <v>39</v>
      </c>
      <c r="C46" s="5">
        <f>9*2.65556</f>
        <v>23.900040000000001</v>
      </c>
      <c r="D46" s="5">
        <v>70.000016000000002</v>
      </c>
      <c r="E46" s="5">
        <v>12.304</v>
      </c>
      <c r="F46" s="5">
        <v>23.8</v>
      </c>
      <c r="G46" s="5">
        <v>45.05</v>
      </c>
      <c r="H46" s="5">
        <v>57.2</v>
      </c>
      <c r="I46" s="5">
        <v>66.72</v>
      </c>
      <c r="J46" s="5">
        <v>61.36</v>
      </c>
      <c r="K46" s="5">
        <v>35.36</v>
      </c>
      <c r="L46" s="5">
        <v>35.72</v>
      </c>
      <c r="M46" s="5">
        <v>22.2</v>
      </c>
      <c r="N46" s="5">
        <v>32.25</v>
      </c>
      <c r="O46" s="5">
        <v>18.8</v>
      </c>
      <c r="P46" s="5">
        <v>16.000001999999999</v>
      </c>
      <c r="Q46" s="5">
        <v>3.8</v>
      </c>
      <c r="R46" s="5">
        <v>59.200011000000003</v>
      </c>
      <c r="S46" s="5">
        <v>15.4</v>
      </c>
      <c r="T46" s="5">
        <v>26.000001999999999</v>
      </c>
      <c r="U46" s="22">
        <f>3*4.333333</f>
        <v>12.999998999999999</v>
      </c>
      <c r="V46" s="22">
        <f>3*3.6</f>
        <v>10.8</v>
      </c>
      <c r="W46" s="5">
        <v>0</v>
      </c>
    </row>
    <row r="47" spans="1:23">
      <c r="A47" s="11">
        <v>220</v>
      </c>
      <c r="B47" s="5" t="s">
        <v>40</v>
      </c>
      <c r="C47" s="5">
        <f>493*2.626572</f>
        <v>1294.8999959999999</v>
      </c>
      <c r="D47" s="5">
        <v>1394.1996750000001</v>
      </c>
      <c r="E47" s="5">
        <v>1177.54</v>
      </c>
      <c r="F47" s="5">
        <v>1661.44</v>
      </c>
      <c r="G47" s="5">
        <v>1730.12</v>
      </c>
      <c r="H47" s="5">
        <v>1703.52</v>
      </c>
      <c r="I47" s="5">
        <v>1925.76</v>
      </c>
      <c r="J47" s="5">
        <v>1663.74</v>
      </c>
      <c r="K47" s="5">
        <v>1533.6</v>
      </c>
      <c r="L47" s="5">
        <v>1452.3</v>
      </c>
      <c r="M47" s="5">
        <v>1212.9599999999998</v>
      </c>
      <c r="N47" s="5">
        <v>1050.8999999999999</v>
      </c>
      <c r="O47" s="5">
        <v>837.2</v>
      </c>
      <c r="P47" s="5">
        <v>770.1001</v>
      </c>
      <c r="Q47" s="5">
        <v>636.49998099999993</v>
      </c>
      <c r="R47" s="5">
        <v>1493.3001240000001</v>
      </c>
      <c r="S47" s="5">
        <v>1307.4999789999999</v>
      </c>
      <c r="T47" s="5">
        <v>1275.20028</v>
      </c>
      <c r="U47" s="22">
        <f>162*2.095062</f>
        <v>339.40004399999998</v>
      </c>
      <c r="V47" s="22">
        <f>87*2.431034</f>
        <v>211.49995799999999</v>
      </c>
      <c r="W47" s="22">
        <f>104*2.422115</f>
        <v>251.89995999999996</v>
      </c>
    </row>
    <row r="48" spans="1:23">
      <c r="A48" s="11">
        <v>221</v>
      </c>
      <c r="B48" s="5" t="s">
        <v>41</v>
      </c>
      <c r="C48" s="5">
        <f>2*3.9</f>
        <v>7.8</v>
      </c>
      <c r="D48" s="5">
        <v>4.8</v>
      </c>
      <c r="E48" s="5">
        <v>0</v>
      </c>
      <c r="F48" s="5">
        <v>0</v>
      </c>
      <c r="G48" s="5">
        <v>0</v>
      </c>
      <c r="H48" s="5">
        <v>3</v>
      </c>
      <c r="I48" s="5">
        <v>1.6</v>
      </c>
      <c r="J48" s="5">
        <v>13.700000000000001</v>
      </c>
      <c r="K48" s="5">
        <v>3</v>
      </c>
      <c r="L48" s="5">
        <v>7.11</v>
      </c>
      <c r="M48" s="5">
        <v>0</v>
      </c>
      <c r="N48" s="5">
        <v>0</v>
      </c>
      <c r="O48" s="5">
        <v>0</v>
      </c>
      <c r="P48" s="5">
        <v>9.9</v>
      </c>
      <c r="Q48" s="5">
        <v>22.300001999999999</v>
      </c>
      <c r="R48" s="5">
        <v>2.8</v>
      </c>
      <c r="S48" s="5">
        <v>1.9</v>
      </c>
      <c r="T48" s="5">
        <v>0</v>
      </c>
      <c r="U48" s="5">
        <v>0</v>
      </c>
      <c r="V48" s="5">
        <v>4.8</v>
      </c>
      <c r="W48" s="5">
        <v>0</v>
      </c>
    </row>
    <row r="49" spans="1:23">
      <c r="A49" s="11">
        <v>223</v>
      </c>
      <c r="B49" s="5" t="s">
        <v>42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1.9</v>
      </c>
      <c r="K49" s="5">
        <v>1.9</v>
      </c>
      <c r="L49" s="5">
        <v>1</v>
      </c>
      <c r="M49" s="5">
        <v>0</v>
      </c>
      <c r="N49" s="5">
        <v>0</v>
      </c>
      <c r="O49" s="5">
        <v>3.5</v>
      </c>
      <c r="P49" s="5">
        <v>4.8</v>
      </c>
      <c r="Q49" s="5">
        <v>0</v>
      </c>
      <c r="R49" s="5">
        <v>7.6</v>
      </c>
      <c r="S49" s="5">
        <v>0</v>
      </c>
      <c r="T49" s="5">
        <v>0.1</v>
      </c>
      <c r="U49" s="5">
        <v>0</v>
      </c>
      <c r="V49" s="22">
        <f>2*2.25</f>
        <v>4.5</v>
      </c>
      <c r="W49" s="5">
        <v>3</v>
      </c>
    </row>
    <row r="50" spans="1:23">
      <c r="A50" s="11">
        <v>225</v>
      </c>
      <c r="B50" s="5" t="s">
        <v>43</v>
      </c>
      <c r="C50" s="5">
        <f>89*2.942697</f>
        <v>261.90003300000001</v>
      </c>
      <c r="D50" s="5">
        <v>186.90000999999998</v>
      </c>
      <c r="E50" s="5">
        <v>186.22300000000001</v>
      </c>
      <c r="F50" s="5">
        <v>309.69</v>
      </c>
      <c r="G50" s="5">
        <v>295.32</v>
      </c>
      <c r="H50" s="5">
        <v>270.56</v>
      </c>
      <c r="I50" s="5">
        <v>273</v>
      </c>
      <c r="J50" s="5">
        <v>337.92</v>
      </c>
      <c r="K50" s="5">
        <v>336.15000000000003</v>
      </c>
      <c r="L50" s="5">
        <v>359.1</v>
      </c>
      <c r="M50" s="5">
        <v>399.90000000000003</v>
      </c>
      <c r="N50" s="5">
        <v>340.48</v>
      </c>
      <c r="O50" s="5">
        <v>283.5</v>
      </c>
      <c r="P50" s="5">
        <v>204.9</v>
      </c>
      <c r="Q50" s="5">
        <v>75.500017</v>
      </c>
      <c r="R50" s="5">
        <v>206.29998799999998</v>
      </c>
      <c r="S50" s="5">
        <v>159.60001499999998</v>
      </c>
      <c r="T50" s="5">
        <v>78.999986000000007</v>
      </c>
      <c r="U50" s="22">
        <f>13*2.692308</f>
        <v>35.000004000000004</v>
      </c>
      <c r="V50" s="22">
        <v>72.599999999999994</v>
      </c>
      <c r="W50" s="22">
        <f>16*2.44375</f>
        <v>39.1</v>
      </c>
    </row>
    <row r="51" spans="1:23">
      <c r="A51" s="11">
        <v>230</v>
      </c>
      <c r="B51" s="5" t="s">
        <v>44</v>
      </c>
      <c r="C51" s="5">
        <f>168*2.57381</f>
        <v>432.40008</v>
      </c>
      <c r="D51" s="5">
        <v>335.89992999999998</v>
      </c>
      <c r="E51" s="5">
        <v>321.81600000000003</v>
      </c>
      <c r="F51" s="5">
        <v>209.70000000000002</v>
      </c>
      <c r="G51" s="5">
        <v>355.05</v>
      </c>
      <c r="H51" s="5">
        <v>316.23</v>
      </c>
      <c r="I51" s="5">
        <v>268.83</v>
      </c>
      <c r="J51" s="5">
        <v>360.24</v>
      </c>
      <c r="K51" s="5">
        <v>434.2</v>
      </c>
      <c r="L51" s="5">
        <v>357.24</v>
      </c>
      <c r="M51" s="5">
        <v>504.50999999999993</v>
      </c>
      <c r="N51" s="5">
        <v>352.41999999999996</v>
      </c>
      <c r="O51" s="5">
        <v>317.44</v>
      </c>
      <c r="P51" s="5">
        <v>330.19997499999999</v>
      </c>
      <c r="Q51" s="5">
        <v>323.60003</v>
      </c>
      <c r="R51" s="5">
        <v>357.70007199999998</v>
      </c>
      <c r="S51" s="5">
        <v>466.49996599999997</v>
      </c>
      <c r="T51" s="5">
        <v>347.19993999999997</v>
      </c>
      <c r="U51" s="22">
        <f>38*2.3</f>
        <v>87.399999999999991</v>
      </c>
      <c r="V51" s="22">
        <v>66.8</v>
      </c>
      <c r="W51" s="22">
        <v>75.8</v>
      </c>
    </row>
    <row r="52" spans="1:23">
      <c r="A52" s="11">
        <v>232</v>
      </c>
      <c r="B52" s="5" t="s">
        <v>45</v>
      </c>
      <c r="C52" s="5">
        <v>0</v>
      </c>
      <c r="D52" s="5">
        <v>0</v>
      </c>
      <c r="E52" s="5">
        <v>0</v>
      </c>
      <c r="F52" s="5">
        <v>10.8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1:23">
      <c r="A53" s="11">
        <v>235</v>
      </c>
      <c r="B53" s="5" t="s">
        <v>46</v>
      </c>
      <c r="C53" s="5">
        <f>56*2.532143</f>
        <v>141.80000799999999</v>
      </c>
      <c r="D53" s="5">
        <v>93.799980000000005</v>
      </c>
      <c r="E53" s="5">
        <v>196.506</v>
      </c>
      <c r="F53" s="5">
        <v>120</v>
      </c>
      <c r="G53" s="5">
        <v>231</v>
      </c>
      <c r="H53" s="5">
        <v>216.6</v>
      </c>
      <c r="I53" s="5">
        <v>164.16</v>
      </c>
      <c r="J53" s="5">
        <v>180.11999999999998</v>
      </c>
      <c r="K53" s="5">
        <v>193.45</v>
      </c>
      <c r="L53" s="5">
        <v>242.76</v>
      </c>
      <c r="M53" s="5">
        <v>187.96</v>
      </c>
      <c r="N53" s="5">
        <v>134.41999999999999</v>
      </c>
      <c r="O53" s="5">
        <v>76.7</v>
      </c>
      <c r="P53" s="5">
        <v>46.6</v>
      </c>
      <c r="Q53" s="5">
        <v>84.300004999999999</v>
      </c>
      <c r="R53" s="5">
        <v>88.4</v>
      </c>
      <c r="S53" s="5">
        <v>81.499992000000006</v>
      </c>
      <c r="T53" s="5">
        <v>104.29998599999999</v>
      </c>
      <c r="U53" s="22">
        <f>7*2.242857</f>
        <v>15.699998999999998</v>
      </c>
      <c r="V53" s="22">
        <f>7*2.6</f>
        <v>18.2</v>
      </c>
      <c r="W53" s="22">
        <f>12*2.066667</f>
        <v>24.800003999999998</v>
      </c>
    </row>
    <row r="54" spans="1:23">
      <c r="A54" s="11">
        <v>255</v>
      </c>
      <c r="B54" s="5" t="s">
        <v>47</v>
      </c>
      <c r="C54" s="5">
        <f>389*2.667866</f>
        <v>1037.799874</v>
      </c>
      <c r="D54" s="5">
        <v>1205.4001049999999</v>
      </c>
      <c r="E54" s="5">
        <v>1070.8</v>
      </c>
      <c r="F54" s="5">
        <v>1354.3200000000002</v>
      </c>
      <c r="G54" s="5">
        <v>1267.6799999999998</v>
      </c>
      <c r="H54" s="5">
        <v>1414.1399999999999</v>
      </c>
      <c r="I54" s="5">
        <v>1433.88</v>
      </c>
      <c r="J54" s="5">
        <v>1375.47</v>
      </c>
      <c r="K54" s="5">
        <v>1340</v>
      </c>
      <c r="L54" s="5">
        <v>1400.3300000000002</v>
      </c>
      <c r="M54" s="5">
        <v>1282.9599999999998</v>
      </c>
      <c r="N54" s="5">
        <v>1106.3</v>
      </c>
      <c r="O54" s="5">
        <v>785.21</v>
      </c>
      <c r="P54" s="5">
        <v>468.50004600000005</v>
      </c>
      <c r="Q54" s="5">
        <v>492.99993599999993</v>
      </c>
      <c r="R54" s="5">
        <v>1016.29995</v>
      </c>
      <c r="S54" s="5">
        <v>1174.4000659999999</v>
      </c>
      <c r="T54" s="5">
        <v>710.59994700000004</v>
      </c>
      <c r="U54" s="22">
        <f>67*2.39403</f>
        <v>160.40000999999998</v>
      </c>
      <c r="V54" s="22">
        <f>69*2.34058</f>
        <v>161.50002000000001</v>
      </c>
      <c r="W54" s="22">
        <f>73*2.217808</f>
        <v>161.89998399999999</v>
      </c>
    </row>
    <row r="55" spans="1:23">
      <c r="A55" s="11">
        <v>290</v>
      </c>
      <c r="B55" s="5" t="s">
        <v>48</v>
      </c>
      <c r="C55" s="5">
        <f>120*2.425</f>
        <v>291</v>
      </c>
      <c r="D55" s="5">
        <v>248.700005</v>
      </c>
      <c r="E55" s="5">
        <v>221.07599999999999</v>
      </c>
      <c r="F55" s="5">
        <v>193.12</v>
      </c>
      <c r="G55" s="5">
        <v>223.52</v>
      </c>
      <c r="H55" s="5">
        <v>254</v>
      </c>
      <c r="I55" s="5">
        <v>372.65</v>
      </c>
      <c r="J55" s="5">
        <v>336.7</v>
      </c>
      <c r="K55" s="5">
        <v>321.86</v>
      </c>
      <c r="L55" s="5">
        <v>226.8</v>
      </c>
      <c r="M55" s="5">
        <v>218.70000000000002</v>
      </c>
      <c r="N55" s="5">
        <v>133.93</v>
      </c>
      <c r="O55" s="5">
        <v>103.05</v>
      </c>
      <c r="P55" s="5">
        <v>66.700010000000006</v>
      </c>
      <c r="Q55" s="5">
        <v>105.70002000000001</v>
      </c>
      <c r="R55" s="5">
        <v>230.79999599999999</v>
      </c>
      <c r="S55" s="5">
        <v>265.80004499999995</v>
      </c>
      <c r="T55" s="5">
        <v>242.50003400000003</v>
      </c>
      <c r="U55" s="22">
        <v>79.400000000000006</v>
      </c>
      <c r="V55" s="22">
        <f>12*1.558333</f>
        <v>18.699995999999999</v>
      </c>
      <c r="W55" s="22">
        <f>6*2.133333</f>
        <v>12.799997999999999</v>
      </c>
    </row>
    <row r="56" spans="1:23">
      <c r="A56" s="11">
        <v>305</v>
      </c>
      <c r="B56" s="5" t="s">
        <v>49</v>
      </c>
      <c r="C56" s="5">
        <f>45*2.706667</f>
        <v>121.800015</v>
      </c>
      <c r="D56" s="5">
        <v>157.40000800000001</v>
      </c>
      <c r="E56" s="5">
        <v>157.976</v>
      </c>
      <c r="F56" s="5">
        <v>145.57999999999998</v>
      </c>
      <c r="G56" s="5">
        <v>218.67999999999998</v>
      </c>
      <c r="H56" s="5">
        <v>219.64000000000001</v>
      </c>
      <c r="I56" s="5">
        <v>157.41</v>
      </c>
      <c r="J56" s="5">
        <v>160.16</v>
      </c>
      <c r="K56" s="5">
        <v>193.88</v>
      </c>
      <c r="L56" s="5">
        <v>142.79999999999998</v>
      </c>
      <c r="M56" s="5">
        <v>163.02000000000001</v>
      </c>
      <c r="N56" s="5">
        <v>73.92</v>
      </c>
      <c r="O56" s="5">
        <v>57.24</v>
      </c>
      <c r="P56" s="5">
        <v>64.600008000000003</v>
      </c>
      <c r="Q56" s="5">
        <v>27.3</v>
      </c>
      <c r="R56" s="5">
        <v>114.99998400000001</v>
      </c>
      <c r="S56" s="5">
        <v>117.40001099999999</v>
      </c>
      <c r="T56" s="5">
        <v>83.100009999999997</v>
      </c>
      <c r="U56" s="22">
        <f>7*1.5</f>
        <v>10.5</v>
      </c>
      <c r="V56" s="22">
        <f>7*2.242857</f>
        <v>15.699998999999998</v>
      </c>
      <c r="W56" s="5">
        <v>2.8</v>
      </c>
    </row>
    <row r="57" spans="1:23">
      <c r="A57" s="11">
        <v>310</v>
      </c>
      <c r="B57" s="5" t="s">
        <v>50</v>
      </c>
      <c r="C57" s="5">
        <f>111*2.293694</f>
        <v>254.60003399999999</v>
      </c>
      <c r="D57" s="5">
        <v>185.19999200000001</v>
      </c>
      <c r="E57" s="5">
        <v>148.28</v>
      </c>
      <c r="F57" s="5">
        <v>111.8</v>
      </c>
      <c r="G57" s="5">
        <v>89.679999999999993</v>
      </c>
      <c r="H57" s="5">
        <v>159</v>
      </c>
      <c r="I57" s="5">
        <v>195.27</v>
      </c>
      <c r="J57" s="5">
        <v>235.85</v>
      </c>
      <c r="K57" s="5">
        <v>131.52000000000001</v>
      </c>
      <c r="L57" s="5">
        <v>109.97999999999999</v>
      </c>
      <c r="M57" s="5">
        <v>89.46</v>
      </c>
      <c r="N57" s="5">
        <v>76.559999999999988</v>
      </c>
      <c r="O57" s="5">
        <v>84.48</v>
      </c>
      <c r="P57" s="5">
        <v>44.600003999999998</v>
      </c>
      <c r="Q57" s="5">
        <v>40.700006000000002</v>
      </c>
      <c r="R57" s="5">
        <v>66.599987999999996</v>
      </c>
      <c r="S57" s="5">
        <v>59.599988999999994</v>
      </c>
      <c r="T57" s="5">
        <v>52.8</v>
      </c>
      <c r="U57" s="22">
        <f>8*2.425</f>
        <v>19.399999999999999</v>
      </c>
      <c r="V57" s="22">
        <f>6*2.566667</f>
        <v>15.400001999999999</v>
      </c>
      <c r="W57" s="5">
        <v>4.5</v>
      </c>
    </row>
    <row r="58" spans="1:23">
      <c r="A58" s="11">
        <v>316</v>
      </c>
      <c r="B58" s="5" t="s">
        <v>51</v>
      </c>
      <c r="C58" s="5">
        <v>0</v>
      </c>
      <c r="D58" s="5">
        <v>0</v>
      </c>
      <c r="E58" s="5">
        <v>0</v>
      </c>
      <c r="F58" s="5">
        <v>146.5</v>
      </c>
      <c r="G58" s="5">
        <v>172.28</v>
      </c>
      <c r="H58" s="5">
        <v>182.04</v>
      </c>
      <c r="I58" s="5">
        <v>222.22</v>
      </c>
      <c r="J58" s="5">
        <v>234.78</v>
      </c>
      <c r="K58" s="5">
        <v>88.74</v>
      </c>
      <c r="L58" s="5">
        <v>63.839999999999996</v>
      </c>
      <c r="M58" s="5">
        <v>78.84</v>
      </c>
      <c r="N58" s="5">
        <v>87.04</v>
      </c>
      <c r="O58" s="5">
        <v>67.2</v>
      </c>
      <c r="P58" s="5">
        <v>26.900001</v>
      </c>
      <c r="Q58" s="5">
        <v>34.899997999999997</v>
      </c>
      <c r="R58" s="5">
        <v>67.900000000000006</v>
      </c>
      <c r="S58" s="5">
        <v>80.700011000000003</v>
      </c>
      <c r="T58" s="5">
        <v>79.100014000000002</v>
      </c>
      <c r="U58" s="22">
        <v>50.2</v>
      </c>
      <c r="V58" s="22">
        <f>13*2.523077</f>
        <v>32.800000999999995</v>
      </c>
      <c r="W58" s="22">
        <f>4*2.175</f>
        <v>8.6999999999999993</v>
      </c>
    </row>
    <row r="59" spans="1:23">
      <c r="A59" s="11">
        <v>317</v>
      </c>
      <c r="B59" s="5" t="s">
        <v>52</v>
      </c>
      <c r="C59" s="5">
        <v>0</v>
      </c>
      <c r="D59" s="5">
        <v>0</v>
      </c>
      <c r="E59" s="5">
        <v>0</v>
      </c>
      <c r="F59" s="5">
        <v>87.36</v>
      </c>
      <c r="G59" s="5">
        <v>64.09</v>
      </c>
      <c r="H59" s="5">
        <v>94.3</v>
      </c>
      <c r="I59" s="5">
        <v>109.12</v>
      </c>
      <c r="J59" s="5">
        <v>57.13</v>
      </c>
      <c r="K59" s="5">
        <v>39.44</v>
      </c>
      <c r="L59" s="5">
        <v>45.599999999999994</v>
      </c>
      <c r="M59" s="5">
        <v>45.57</v>
      </c>
      <c r="N59" s="5">
        <v>41.28</v>
      </c>
      <c r="O59" s="5">
        <v>29.25</v>
      </c>
      <c r="P59" s="5">
        <v>20.9</v>
      </c>
      <c r="Q59" s="5">
        <v>7.1000010000000007</v>
      </c>
      <c r="R59" s="5">
        <v>81.199997999999994</v>
      </c>
      <c r="S59" s="5">
        <v>31.399994999999997</v>
      </c>
      <c r="T59" s="5">
        <v>29.7</v>
      </c>
      <c r="U59" s="22">
        <f>6*2.133333</f>
        <v>12.799997999999999</v>
      </c>
      <c r="V59" s="5">
        <v>3</v>
      </c>
      <c r="W59" s="22">
        <v>5.3</v>
      </c>
    </row>
    <row r="60" spans="1:23">
      <c r="A60" s="11">
        <v>325</v>
      </c>
      <c r="B60" s="5" t="s">
        <v>53</v>
      </c>
      <c r="C60" s="5">
        <f>179*2.573743</f>
        <v>460.699997</v>
      </c>
      <c r="D60" s="5">
        <v>523.699884</v>
      </c>
      <c r="E60" s="5">
        <v>470.36599999999999</v>
      </c>
      <c r="F60" s="5">
        <v>433.44</v>
      </c>
      <c r="G60" s="5">
        <v>496.79999999999995</v>
      </c>
      <c r="H60" s="5">
        <v>461.12</v>
      </c>
      <c r="I60" s="5">
        <v>589.49</v>
      </c>
      <c r="J60" s="5">
        <v>780.1</v>
      </c>
      <c r="K60" s="5">
        <v>613.6</v>
      </c>
      <c r="L60" s="5">
        <v>652.07999999999993</v>
      </c>
      <c r="M60" s="5">
        <v>610.74</v>
      </c>
      <c r="N60" s="5">
        <v>538.15</v>
      </c>
      <c r="O60" s="5">
        <v>369.71999999999997</v>
      </c>
      <c r="P60" s="5">
        <v>249.00005399999998</v>
      </c>
      <c r="Q60" s="5">
        <v>260.60000400000001</v>
      </c>
      <c r="R60" s="5">
        <v>480.09997499999997</v>
      </c>
      <c r="S60" s="5">
        <v>446.69996800000001</v>
      </c>
      <c r="T60" s="5">
        <v>412.39996200000002</v>
      </c>
      <c r="U60" s="22">
        <v>91.5</v>
      </c>
      <c r="V60" s="22">
        <f>55*2.114545</f>
        <v>116.299975</v>
      </c>
      <c r="W60" s="22">
        <f>21*2.047619</f>
        <v>42.999999000000003</v>
      </c>
    </row>
    <row r="61" spans="1:23">
      <c r="A61" s="11">
        <v>331</v>
      </c>
      <c r="B61" s="5" t="s">
        <v>54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2.8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</row>
    <row r="62" spans="1:23">
      <c r="A62" s="11">
        <v>338</v>
      </c>
      <c r="B62" s="5" t="s">
        <v>55</v>
      </c>
      <c r="C62" s="5">
        <f>3*2.933333</f>
        <v>8.7999989999999997</v>
      </c>
      <c r="D62" s="5">
        <v>7.5</v>
      </c>
      <c r="E62" s="5">
        <v>17</v>
      </c>
      <c r="F62" s="5">
        <v>16.98</v>
      </c>
      <c r="G62" s="5">
        <v>23.9</v>
      </c>
      <c r="H62" s="5">
        <v>39.840000000000003</v>
      </c>
      <c r="I62" s="5">
        <v>28.8</v>
      </c>
      <c r="J62" s="5">
        <v>25.2</v>
      </c>
      <c r="K62" s="5">
        <v>24.42</v>
      </c>
      <c r="L62" s="5">
        <v>9.42</v>
      </c>
      <c r="M62" s="5">
        <v>19.600000000000001</v>
      </c>
      <c r="N62" s="5">
        <v>32.620000000000005</v>
      </c>
      <c r="O62" s="5">
        <v>7.89</v>
      </c>
      <c r="P62" s="5">
        <v>1.9</v>
      </c>
      <c r="Q62" s="5">
        <v>4.3</v>
      </c>
      <c r="R62" s="5">
        <v>8.1999999999999993</v>
      </c>
      <c r="S62" s="5">
        <v>29.900004000000003</v>
      </c>
      <c r="T62" s="5">
        <v>18.700002000000001</v>
      </c>
      <c r="U62" s="5">
        <v>0</v>
      </c>
      <c r="V62" s="5">
        <v>2.8</v>
      </c>
      <c r="W62" s="5">
        <v>1.9</v>
      </c>
    </row>
    <row r="63" spans="1:23">
      <c r="A63" s="11">
        <v>339</v>
      </c>
      <c r="B63" s="5" t="s">
        <v>56</v>
      </c>
      <c r="C63" s="5">
        <f>35*2.231429</f>
        <v>78.100014999999999</v>
      </c>
      <c r="D63" s="5">
        <v>134.70001999999999</v>
      </c>
      <c r="E63" s="5">
        <v>72.899999999999991</v>
      </c>
      <c r="F63" s="5">
        <v>63.94</v>
      </c>
      <c r="G63" s="5">
        <v>86.26</v>
      </c>
      <c r="H63" s="5">
        <v>93.48</v>
      </c>
      <c r="I63" s="5">
        <v>82.08</v>
      </c>
      <c r="J63" s="5">
        <v>158.12</v>
      </c>
      <c r="K63" s="5">
        <v>110.00000000000001</v>
      </c>
      <c r="L63" s="5">
        <v>184.86</v>
      </c>
      <c r="M63" s="5">
        <v>39.840000000000003</v>
      </c>
      <c r="N63" s="5">
        <v>76.320000000000007</v>
      </c>
      <c r="O63" s="5">
        <v>7.1999999999999993</v>
      </c>
      <c r="P63" s="5">
        <v>28.6</v>
      </c>
      <c r="Q63" s="5">
        <v>3.4</v>
      </c>
      <c r="R63" s="5">
        <v>16.399999000000001</v>
      </c>
      <c r="S63" s="5">
        <v>26.199998000000001</v>
      </c>
      <c r="T63" s="5">
        <v>37.199995000000001</v>
      </c>
      <c r="U63" s="22">
        <f>5*2.42</f>
        <v>12.1</v>
      </c>
      <c r="V63" s="5">
        <v>0</v>
      </c>
      <c r="W63" s="5">
        <v>3</v>
      </c>
    </row>
    <row r="64" spans="1:23">
      <c r="A64" s="11">
        <v>343</v>
      </c>
      <c r="B64" s="5" t="s">
        <v>57</v>
      </c>
      <c r="C64" s="5">
        <v>0</v>
      </c>
      <c r="D64" s="5">
        <v>4.5</v>
      </c>
      <c r="E64" s="5">
        <v>16.704000000000001</v>
      </c>
      <c r="F64" s="5">
        <v>38.549999999999997</v>
      </c>
      <c r="G64" s="5">
        <v>42.330000000000005</v>
      </c>
      <c r="H64" s="5">
        <v>28.39</v>
      </c>
      <c r="I64" s="5">
        <v>52.709999999999994</v>
      </c>
      <c r="J64" s="5">
        <v>22.77</v>
      </c>
      <c r="K64" s="5">
        <v>10.8</v>
      </c>
      <c r="L64" s="5">
        <v>135.72</v>
      </c>
      <c r="M64" s="5">
        <v>20.64</v>
      </c>
      <c r="N64" s="5">
        <v>145.70000000000002</v>
      </c>
      <c r="O64" s="5">
        <v>1.9</v>
      </c>
      <c r="P64" s="5">
        <v>0</v>
      </c>
      <c r="Q64" s="5">
        <v>7.1999999999999993</v>
      </c>
      <c r="R64" s="5">
        <v>36.700000000000003</v>
      </c>
      <c r="S64" s="5">
        <v>1.9</v>
      </c>
      <c r="T64" s="5">
        <v>13</v>
      </c>
      <c r="U64" s="22">
        <f>4*1.3</f>
        <v>5.2</v>
      </c>
      <c r="V64" s="5">
        <v>1.9</v>
      </c>
      <c r="W64" s="5">
        <v>0.8</v>
      </c>
    </row>
    <row r="65" spans="1:23">
      <c r="A65" s="11">
        <v>344</v>
      </c>
      <c r="B65" s="5" t="s">
        <v>58</v>
      </c>
      <c r="C65" s="5">
        <v>0</v>
      </c>
      <c r="D65" s="5">
        <v>153.700019</v>
      </c>
      <c r="E65" s="5">
        <v>135.85</v>
      </c>
      <c r="F65" s="5">
        <v>262.57</v>
      </c>
      <c r="G65" s="5">
        <v>288</v>
      </c>
      <c r="H65" s="5">
        <v>322.89</v>
      </c>
      <c r="I65" s="5">
        <v>304.64</v>
      </c>
      <c r="J65" s="5">
        <v>150.66</v>
      </c>
      <c r="K65" s="5">
        <v>95.550000000000011</v>
      </c>
      <c r="L65" s="5">
        <v>80.150000000000006</v>
      </c>
      <c r="M65" s="5">
        <v>80.52</v>
      </c>
      <c r="N65" s="5">
        <v>69.66</v>
      </c>
      <c r="O65" s="5">
        <v>78.399999999999991</v>
      </c>
      <c r="P65" s="5">
        <v>54.900005999999998</v>
      </c>
      <c r="Q65" s="5">
        <v>57.700008000000004</v>
      </c>
      <c r="R65" s="5">
        <v>160.800016</v>
      </c>
      <c r="S65" s="5">
        <v>103.100004</v>
      </c>
      <c r="T65" s="5">
        <v>65.900010000000009</v>
      </c>
      <c r="U65" s="22">
        <f>5*3.06</f>
        <v>15.3</v>
      </c>
      <c r="V65" s="22">
        <f>11*2.281818</f>
        <v>25.099997999999999</v>
      </c>
      <c r="W65" s="22">
        <f>4*2.425</f>
        <v>9.6999999999999993</v>
      </c>
    </row>
    <row r="66" spans="1:23">
      <c r="A66" s="11">
        <v>345</v>
      </c>
      <c r="B66" s="5" t="s">
        <v>59</v>
      </c>
      <c r="C66" s="5">
        <f>52*2.534615</f>
        <v>131.79998000000001</v>
      </c>
      <c r="D66" s="5">
        <v>344.99996800000002</v>
      </c>
      <c r="E66" s="5">
        <v>339.20000000000005</v>
      </c>
      <c r="F66" s="5">
        <v>315.7</v>
      </c>
      <c r="G66" s="5">
        <v>258.68</v>
      </c>
      <c r="H66" s="5">
        <v>477.12000000000006</v>
      </c>
      <c r="I66" s="5">
        <v>354.82</v>
      </c>
      <c r="J66" s="5">
        <v>188.76</v>
      </c>
      <c r="K66" s="5">
        <v>341.38</v>
      </c>
      <c r="L66" s="5">
        <v>731</v>
      </c>
      <c r="M66" s="5">
        <v>282.5</v>
      </c>
      <c r="N66" s="5">
        <v>185.64000000000001</v>
      </c>
      <c r="O66" s="5">
        <v>94.800000000000011</v>
      </c>
      <c r="P66" s="5">
        <v>72.999988999999999</v>
      </c>
      <c r="Q66" s="5">
        <v>58.900008</v>
      </c>
      <c r="R66" s="5">
        <v>160.69996900000001</v>
      </c>
      <c r="S66" s="5">
        <v>190.70001600000001</v>
      </c>
      <c r="T66" s="5">
        <v>110.100016</v>
      </c>
      <c r="U66" s="22">
        <v>42.7</v>
      </c>
      <c r="V66" s="22">
        <f>20*3.02</f>
        <v>60.4</v>
      </c>
      <c r="W66" s="22">
        <f>2*1.25</f>
        <v>2.5</v>
      </c>
    </row>
    <row r="67" spans="1:23">
      <c r="A67" s="11">
        <v>346</v>
      </c>
      <c r="B67" s="5" t="s">
        <v>60</v>
      </c>
      <c r="C67" s="5">
        <v>0</v>
      </c>
      <c r="D67" s="5">
        <v>0</v>
      </c>
      <c r="E67" s="5">
        <v>164.57999999999998</v>
      </c>
      <c r="F67" s="5">
        <v>421.20000000000005</v>
      </c>
      <c r="G67" s="5">
        <v>427.84000000000003</v>
      </c>
      <c r="H67" s="5">
        <v>512.04999999999995</v>
      </c>
      <c r="I67" s="5">
        <v>373.27</v>
      </c>
      <c r="J67" s="5">
        <v>123.49000000000001</v>
      </c>
      <c r="K67" s="5">
        <v>75.819999999999993</v>
      </c>
      <c r="L67" s="5">
        <v>58.589999999999996</v>
      </c>
      <c r="M67" s="5">
        <v>73.44</v>
      </c>
      <c r="N67" s="5">
        <v>56.4</v>
      </c>
      <c r="O67" s="5">
        <v>17.290000000000003</v>
      </c>
      <c r="P67" s="5">
        <v>18</v>
      </c>
      <c r="Q67" s="5">
        <v>15</v>
      </c>
      <c r="R67" s="5">
        <v>70</v>
      </c>
      <c r="S67" s="5">
        <v>33.199998000000001</v>
      </c>
      <c r="T67" s="5">
        <v>20.999997</v>
      </c>
      <c r="U67" s="5">
        <v>2.8</v>
      </c>
      <c r="V67" s="22">
        <f>6*2.2</f>
        <v>13.200000000000001</v>
      </c>
      <c r="W67" s="22">
        <f>4*2.75</f>
        <v>11</v>
      </c>
    </row>
    <row r="68" spans="1:23">
      <c r="A68" s="11">
        <v>349</v>
      </c>
      <c r="B68" s="5" t="s">
        <v>61</v>
      </c>
      <c r="C68" s="5">
        <v>0</v>
      </c>
      <c r="D68" s="5">
        <v>60.700008000000004</v>
      </c>
      <c r="E68" s="5">
        <v>16.59</v>
      </c>
      <c r="F68" s="5">
        <v>39.6</v>
      </c>
      <c r="G68" s="5">
        <v>27.6</v>
      </c>
      <c r="H68" s="5">
        <v>28.68</v>
      </c>
      <c r="I68" s="5">
        <v>48.6</v>
      </c>
      <c r="J68" s="5">
        <v>30.1</v>
      </c>
      <c r="K68" s="5">
        <v>17.580000000000002</v>
      </c>
      <c r="L68" s="5">
        <v>25.47</v>
      </c>
      <c r="M68" s="5">
        <v>16.68</v>
      </c>
      <c r="N68" s="5">
        <v>34.72</v>
      </c>
      <c r="O68" s="5">
        <v>20.52</v>
      </c>
      <c r="P68" s="5">
        <v>22.799996999999998</v>
      </c>
      <c r="Q68" s="5">
        <v>4.8</v>
      </c>
      <c r="R68" s="5">
        <v>19.5</v>
      </c>
      <c r="S68" s="5">
        <v>15.100002</v>
      </c>
      <c r="T68" s="5">
        <v>26.900005</v>
      </c>
      <c r="U68" s="5">
        <v>26.6</v>
      </c>
      <c r="V68" s="22">
        <f>11*2.454545</f>
        <v>26.999994999999998</v>
      </c>
      <c r="W68" s="5">
        <v>0</v>
      </c>
    </row>
    <row r="69" spans="1:23">
      <c r="A69" s="11">
        <v>350</v>
      </c>
      <c r="B69" s="5" t="s">
        <v>62</v>
      </c>
      <c r="C69" s="5">
        <f>40*2.7075</f>
        <v>108.3</v>
      </c>
      <c r="D69" s="5">
        <v>137.49997200000001</v>
      </c>
      <c r="E69" s="5">
        <v>124.8</v>
      </c>
      <c r="F69" s="5">
        <v>151.63999999999999</v>
      </c>
      <c r="G69" s="5">
        <v>202.02</v>
      </c>
      <c r="H69" s="5">
        <v>261.45000000000005</v>
      </c>
      <c r="I69" s="5">
        <v>208.67</v>
      </c>
      <c r="J69" s="5">
        <v>234.78</v>
      </c>
      <c r="K69" s="5">
        <v>235.2</v>
      </c>
      <c r="L69" s="5">
        <v>280.13</v>
      </c>
      <c r="M69" s="5">
        <v>203.81</v>
      </c>
      <c r="N69" s="5">
        <v>187.44</v>
      </c>
      <c r="O69" s="5">
        <v>102.72</v>
      </c>
      <c r="P69" s="5">
        <v>87.69999</v>
      </c>
      <c r="Q69" s="5">
        <v>122.30001</v>
      </c>
      <c r="R69" s="5">
        <v>168.299992</v>
      </c>
      <c r="S69" s="5">
        <v>224.699985</v>
      </c>
      <c r="T69" s="5">
        <v>121.29998999999999</v>
      </c>
      <c r="U69" s="22">
        <v>60.3</v>
      </c>
      <c r="V69" s="22">
        <f>6*2.833333</f>
        <v>16.999998000000001</v>
      </c>
      <c r="W69" s="22">
        <f>9*1.955556</f>
        <v>17.600004000000002</v>
      </c>
    </row>
    <row r="70" spans="1:23">
      <c r="A70" s="11">
        <v>352</v>
      </c>
      <c r="B70" s="5" t="s">
        <v>63</v>
      </c>
      <c r="C70" s="5">
        <f>26*2.246154</f>
        <v>58.400004000000003</v>
      </c>
      <c r="D70" s="5">
        <v>65.399994000000007</v>
      </c>
      <c r="E70" s="5">
        <v>19.32</v>
      </c>
      <c r="F70" s="5">
        <v>61.7</v>
      </c>
      <c r="G70" s="5">
        <v>38.24</v>
      </c>
      <c r="H70" s="5">
        <v>69.44</v>
      </c>
      <c r="I70" s="5">
        <v>102.3</v>
      </c>
      <c r="J70" s="5">
        <v>76.44</v>
      </c>
      <c r="K70" s="5">
        <v>81.55</v>
      </c>
      <c r="L70" s="5">
        <v>61.1</v>
      </c>
      <c r="M70" s="5">
        <v>67.570000000000007</v>
      </c>
      <c r="N70" s="5">
        <v>43.2</v>
      </c>
      <c r="O70" s="5">
        <v>48.45</v>
      </c>
      <c r="P70" s="5">
        <v>24.599997000000002</v>
      </c>
      <c r="Q70" s="5">
        <v>18.599999</v>
      </c>
      <c r="R70" s="5">
        <v>72.900002999999998</v>
      </c>
      <c r="S70" s="5">
        <v>139.39997500000001</v>
      </c>
      <c r="T70" s="5">
        <v>16.099996000000001</v>
      </c>
      <c r="U70" s="22">
        <f>3*1.9</f>
        <v>5.6999999999999993</v>
      </c>
      <c r="V70" s="22">
        <f>5*2.54</f>
        <v>12.7</v>
      </c>
      <c r="W70" s="22">
        <f>3*4.4</f>
        <v>13.200000000000001</v>
      </c>
    </row>
    <row r="71" spans="1:23">
      <c r="A71" s="11">
        <v>355</v>
      </c>
      <c r="B71" s="5" t="s">
        <v>64</v>
      </c>
      <c r="C71" s="5">
        <f>51*2.737255</f>
        <v>139.60000500000001</v>
      </c>
      <c r="D71" s="5">
        <v>141.9</v>
      </c>
      <c r="E71" s="5">
        <v>155.82000000000002</v>
      </c>
      <c r="F71" s="5">
        <v>162.44</v>
      </c>
      <c r="G71" s="5">
        <v>184.32</v>
      </c>
      <c r="H71" s="5">
        <v>219.29999999999998</v>
      </c>
      <c r="I71" s="5">
        <v>135.14000000000001</v>
      </c>
      <c r="J71" s="5">
        <v>147.66</v>
      </c>
      <c r="K71" s="5">
        <v>152.81</v>
      </c>
      <c r="L71" s="5">
        <v>156.76999999999998</v>
      </c>
      <c r="M71" s="5">
        <v>116.44</v>
      </c>
      <c r="N71" s="5">
        <v>70.5</v>
      </c>
      <c r="O71" s="5">
        <v>54.78</v>
      </c>
      <c r="P71" s="5">
        <v>46.1</v>
      </c>
      <c r="Q71" s="5">
        <v>65.199991999999995</v>
      </c>
      <c r="R71" s="5">
        <v>125.099991</v>
      </c>
      <c r="S71" s="5">
        <v>117.600016</v>
      </c>
      <c r="T71" s="5">
        <v>205.299993</v>
      </c>
      <c r="U71" s="22">
        <f>6*3.116667</f>
        <v>18.700002000000001</v>
      </c>
      <c r="V71" s="22">
        <f>5*2.1</f>
        <v>10.5</v>
      </c>
      <c r="W71" s="5">
        <v>1.5</v>
      </c>
    </row>
    <row r="72" spans="1:23">
      <c r="A72" s="11">
        <v>359</v>
      </c>
      <c r="B72" s="5" t="s">
        <v>65</v>
      </c>
      <c r="C72" s="5">
        <v>0</v>
      </c>
      <c r="D72" s="5">
        <v>4.8000000000000007</v>
      </c>
      <c r="E72" s="5">
        <v>57.46</v>
      </c>
      <c r="F72" s="5">
        <v>32.04</v>
      </c>
      <c r="G72" s="5">
        <v>28.080000000000002</v>
      </c>
      <c r="H72" s="5">
        <v>21.599999999999998</v>
      </c>
      <c r="I72" s="5">
        <v>6.3</v>
      </c>
      <c r="J72" s="5">
        <v>14.52</v>
      </c>
      <c r="K72" s="5">
        <v>3.8</v>
      </c>
      <c r="L72" s="5">
        <v>14.32</v>
      </c>
      <c r="M72" s="5">
        <v>23.52</v>
      </c>
      <c r="N72" s="5">
        <v>16.38</v>
      </c>
      <c r="O72" s="5">
        <v>5.8</v>
      </c>
      <c r="P72" s="5">
        <v>0</v>
      </c>
      <c r="Q72" s="5">
        <v>0</v>
      </c>
      <c r="R72" s="5">
        <v>11</v>
      </c>
      <c r="S72" s="5">
        <v>11.300001</v>
      </c>
      <c r="T72" s="5">
        <v>14.900004000000001</v>
      </c>
      <c r="U72" s="5">
        <v>4</v>
      </c>
      <c r="V72" s="5">
        <v>3</v>
      </c>
      <c r="W72" s="5">
        <v>2.8</v>
      </c>
    </row>
    <row r="73" spans="1:23">
      <c r="A73" s="11">
        <v>360</v>
      </c>
      <c r="B73" s="5" t="s">
        <v>66</v>
      </c>
      <c r="C73" s="5">
        <f>81*2.369136</f>
        <v>191.90001600000002</v>
      </c>
      <c r="D73" s="5">
        <v>230.300037</v>
      </c>
      <c r="E73" s="5">
        <v>160.19999999999999</v>
      </c>
      <c r="F73" s="5">
        <v>276.08</v>
      </c>
      <c r="G73" s="5">
        <v>266.43</v>
      </c>
      <c r="H73" s="5">
        <v>161.88</v>
      </c>
      <c r="I73" s="5">
        <v>192.5</v>
      </c>
      <c r="J73" s="5">
        <v>173.25</v>
      </c>
      <c r="K73" s="5">
        <v>122.2</v>
      </c>
      <c r="L73" s="5">
        <v>120.97999999999999</v>
      </c>
      <c r="M73" s="5">
        <v>137.28</v>
      </c>
      <c r="N73" s="5">
        <v>61.019999999999996</v>
      </c>
      <c r="O73" s="5">
        <v>63.36</v>
      </c>
      <c r="P73" s="5">
        <v>48.6</v>
      </c>
      <c r="Q73" s="5">
        <v>56.799991999999996</v>
      </c>
      <c r="R73" s="5">
        <v>100.20001900000001</v>
      </c>
      <c r="S73" s="5">
        <v>59.100008000000003</v>
      </c>
      <c r="T73" s="5">
        <v>60</v>
      </c>
      <c r="U73" s="22">
        <f>4*3.3</f>
        <v>13.2</v>
      </c>
      <c r="V73" s="22">
        <f>6*3.266667</f>
        <v>19.600002</v>
      </c>
      <c r="W73" s="22">
        <f>4*2.15</f>
        <v>8.6</v>
      </c>
    </row>
    <row r="74" spans="1:23">
      <c r="A74" s="11">
        <v>365</v>
      </c>
      <c r="B74" s="5" t="s">
        <v>67</v>
      </c>
      <c r="C74" s="5">
        <f>79*2.53038</f>
        <v>199.90002000000001</v>
      </c>
      <c r="D74" s="5">
        <v>757.49992500000008</v>
      </c>
      <c r="E74" s="5">
        <v>1301.04</v>
      </c>
      <c r="F74" s="5">
        <v>1467.5</v>
      </c>
      <c r="G74" s="5">
        <v>1425.4399999999998</v>
      </c>
      <c r="H74" s="5">
        <v>1322.3999999999999</v>
      </c>
      <c r="I74" s="5">
        <v>1243.72</v>
      </c>
      <c r="J74" s="5">
        <v>1321.6</v>
      </c>
      <c r="K74" s="5">
        <v>1554.63</v>
      </c>
      <c r="L74" s="5">
        <v>1569.92</v>
      </c>
      <c r="M74" s="5">
        <v>1491.12</v>
      </c>
      <c r="N74" s="5">
        <v>1276.8999999999999</v>
      </c>
      <c r="O74" s="5">
        <v>810.07999999999993</v>
      </c>
      <c r="P74" s="5">
        <v>607.40004399999998</v>
      </c>
      <c r="Q74" s="5">
        <v>389.89995000000005</v>
      </c>
      <c r="R74" s="5">
        <v>1676.799968</v>
      </c>
      <c r="S74" s="5">
        <v>1897.599958</v>
      </c>
      <c r="T74" s="5">
        <v>1550.500266</v>
      </c>
      <c r="U74" s="22">
        <v>595.29999999999995</v>
      </c>
      <c r="V74" s="22">
        <f>215*2.523256</f>
        <v>542.50004000000001</v>
      </c>
      <c r="W74" s="22">
        <f>147*2.129252</f>
        <v>313.000044</v>
      </c>
    </row>
    <row r="75" spans="1:23">
      <c r="A75" s="11">
        <v>366</v>
      </c>
      <c r="B75" s="5" t="s">
        <v>68</v>
      </c>
      <c r="C75" s="5">
        <v>0</v>
      </c>
      <c r="D75" s="5">
        <v>37.699994999999994</v>
      </c>
      <c r="E75" s="5">
        <v>28.56</v>
      </c>
      <c r="F75" s="5">
        <v>24.6</v>
      </c>
      <c r="G75" s="5">
        <v>37.74</v>
      </c>
      <c r="H75" s="5">
        <v>22.23</v>
      </c>
      <c r="I75" s="5">
        <v>42.56</v>
      </c>
      <c r="J75" s="5">
        <v>80.319999999999993</v>
      </c>
      <c r="K75" s="5">
        <v>81.22</v>
      </c>
      <c r="L75" s="5">
        <v>65</v>
      </c>
      <c r="M75" s="5">
        <v>60.75</v>
      </c>
      <c r="N75" s="5">
        <v>50.04</v>
      </c>
      <c r="O75" s="5">
        <v>23.2</v>
      </c>
      <c r="P75" s="5">
        <v>2.2000000000000002</v>
      </c>
      <c r="Q75" s="5">
        <v>0</v>
      </c>
      <c r="R75" s="5">
        <v>83.299995999999993</v>
      </c>
      <c r="S75" s="5">
        <v>97.3</v>
      </c>
      <c r="T75" s="5">
        <v>61.3</v>
      </c>
      <c r="U75" s="5">
        <v>4.8</v>
      </c>
      <c r="V75" s="5">
        <v>0</v>
      </c>
      <c r="W75" s="5">
        <v>3.4</v>
      </c>
    </row>
    <row r="76" spans="1:23">
      <c r="A76" s="11">
        <v>367</v>
      </c>
      <c r="B76" s="5" t="s">
        <v>69</v>
      </c>
      <c r="C76" s="5">
        <v>0</v>
      </c>
      <c r="D76" s="5">
        <v>20.500002000000002</v>
      </c>
      <c r="E76" s="5">
        <v>40.97</v>
      </c>
      <c r="F76" s="5">
        <v>37.949999999999996</v>
      </c>
      <c r="G76" s="5">
        <v>52.56</v>
      </c>
      <c r="H76" s="5">
        <v>51.66</v>
      </c>
      <c r="I76" s="5">
        <v>44.48</v>
      </c>
      <c r="J76" s="5">
        <v>76.44</v>
      </c>
      <c r="K76" s="5">
        <v>80.150000000000006</v>
      </c>
      <c r="L76" s="5">
        <v>88.97</v>
      </c>
      <c r="M76" s="5">
        <v>81.22</v>
      </c>
      <c r="N76" s="5">
        <v>41.28</v>
      </c>
      <c r="O76" s="5">
        <v>18</v>
      </c>
      <c r="P76" s="5">
        <v>9</v>
      </c>
      <c r="Q76" s="5">
        <v>20.700000000000003</v>
      </c>
      <c r="R76" s="5">
        <v>66.800009000000003</v>
      </c>
      <c r="S76" s="5">
        <v>45.100005000000003</v>
      </c>
      <c r="T76" s="5">
        <v>54.900003999999996</v>
      </c>
      <c r="U76" s="22">
        <f>2*3.35</f>
        <v>6.7</v>
      </c>
      <c r="V76" s="5">
        <v>0</v>
      </c>
      <c r="W76" s="5">
        <v>0</v>
      </c>
    </row>
    <row r="77" spans="1:23">
      <c r="A77" s="11">
        <v>368</v>
      </c>
      <c r="B77" s="5" t="s">
        <v>70</v>
      </c>
      <c r="C77" s="5">
        <v>0</v>
      </c>
      <c r="D77" s="5">
        <v>25.600004999999999</v>
      </c>
      <c r="E77" s="5">
        <v>53.97</v>
      </c>
      <c r="F77" s="5">
        <v>19.920000000000002</v>
      </c>
      <c r="G77" s="5">
        <v>43.56</v>
      </c>
      <c r="H77" s="5">
        <v>31.360000000000003</v>
      </c>
      <c r="I77" s="5">
        <v>43.550000000000004</v>
      </c>
      <c r="J77" s="5">
        <v>131.04</v>
      </c>
      <c r="K77" s="5">
        <v>166.32</v>
      </c>
      <c r="L77" s="5">
        <v>159.36000000000001</v>
      </c>
      <c r="M77" s="5">
        <v>99.88</v>
      </c>
      <c r="N77" s="5">
        <v>88.8</v>
      </c>
      <c r="O77" s="5">
        <v>33.4</v>
      </c>
      <c r="P77" s="5">
        <v>2.9</v>
      </c>
      <c r="Q77" s="5">
        <v>7.2</v>
      </c>
      <c r="R77" s="5">
        <v>71.199995999999999</v>
      </c>
      <c r="S77" s="5">
        <v>87.600015999999997</v>
      </c>
      <c r="T77" s="5">
        <v>41.600006</v>
      </c>
      <c r="U77" s="22">
        <f>9*2.633333</f>
        <v>23.699997</v>
      </c>
      <c r="V77" s="5">
        <v>6.3</v>
      </c>
      <c r="W77" s="5">
        <v>0</v>
      </c>
    </row>
    <row r="78" spans="1:23">
      <c r="A78" s="11">
        <v>369</v>
      </c>
      <c r="B78" s="5" t="s">
        <v>71</v>
      </c>
      <c r="C78" s="5">
        <v>0</v>
      </c>
      <c r="D78" s="5">
        <v>36.800004000000001</v>
      </c>
      <c r="E78" s="5">
        <v>230</v>
      </c>
      <c r="F78" s="5">
        <v>209.35</v>
      </c>
      <c r="G78" s="5">
        <v>174.20000000000002</v>
      </c>
      <c r="H78" s="5">
        <v>181.76</v>
      </c>
      <c r="I78" s="5">
        <v>187.78</v>
      </c>
      <c r="J78" s="5">
        <v>190.89</v>
      </c>
      <c r="K78" s="5">
        <v>218.4</v>
      </c>
      <c r="L78" s="5">
        <v>230.64</v>
      </c>
      <c r="M78" s="5">
        <v>217.46</v>
      </c>
      <c r="N78" s="5">
        <v>68.399999999999991</v>
      </c>
      <c r="O78" s="5">
        <v>90.820000000000007</v>
      </c>
      <c r="P78" s="5">
        <v>51.1</v>
      </c>
      <c r="Q78" s="5">
        <v>71.099996000000004</v>
      </c>
      <c r="R78" s="5">
        <v>410.90000600000002</v>
      </c>
      <c r="S78" s="5">
        <v>188.30003500000001</v>
      </c>
      <c r="T78" s="5">
        <v>120.9</v>
      </c>
      <c r="U78" s="22">
        <v>74.099999999999994</v>
      </c>
      <c r="V78" s="22">
        <f>27*2.485185</f>
        <v>67.099994999999993</v>
      </c>
      <c r="W78" s="22">
        <f>14*2.15</f>
        <v>30.099999999999998</v>
      </c>
    </row>
    <row r="79" spans="1:23">
      <c r="A79" s="11">
        <v>370</v>
      </c>
      <c r="B79" s="5" t="s">
        <v>72</v>
      </c>
      <c r="C79" s="5">
        <v>0</v>
      </c>
      <c r="D79" s="5">
        <v>14.199997</v>
      </c>
      <c r="E79" s="5">
        <v>63.629999999999995</v>
      </c>
      <c r="F79" s="5">
        <v>52</v>
      </c>
      <c r="G79" s="5">
        <v>34.32</v>
      </c>
      <c r="H79" s="5">
        <v>33.549999999999997</v>
      </c>
      <c r="I79" s="5">
        <v>40.94</v>
      </c>
      <c r="J79" s="5">
        <v>60.48</v>
      </c>
      <c r="K79" s="5">
        <v>64.959999999999994</v>
      </c>
      <c r="L79" s="5">
        <v>33.18</v>
      </c>
      <c r="M79" s="5">
        <v>48.760000000000005</v>
      </c>
      <c r="N79" s="5">
        <v>14.82</v>
      </c>
      <c r="O79" s="5">
        <v>15</v>
      </c>
      <c r="P79" s="5">
        <v>9</v>
      </c>
      <c r="Q79" s="5">
        <v>11.1</v>
      </c>
      <c r="R79" s="5">
        <v>16.300003999999998</v>
      </c>
      <c r="S79" s="5">
        <v>67.900008</v>
      </c>
      <c r="T79" s="5">
        <v>71.19999</v>
      </c>
      <c r="U79" s="22">
        <f>4*1.875</f>
        <v>7.5</v>
      </c>
      <c r="V79" s="5">
        <v>26.5</v>
      </c>
      <c r="W79" s="22">
        <f>9*2.766667</f>
        <v>24.900002999999998</v>
      </c>
    </row>
    <row r="80" spans="1:23">
      <c r="A80" s="11">
        <v>371</v>
      </c>
      <c r="B80" s="5" t="s">
        <v>73</v>
      </c>
      <c r="C80" s="5">
        <v>0</v>
      </c>
      <c r="D80" s="5">
        <v>3</v>
      </c>
      <c r="E80" s="5">
        <v>27.54</v>
      </c>
      <c r="F80" s="5">
        <v>24.53</v>
      </c>
      <c r="G80" s="5">
        <v>15.66</v>
      </c>
      <c r="H80" s="5">
        <v>1</v>
      </c>
      <c r="I80" s="5">
        <v>5.6999999999999993</v>
      </c>
      <c r="J80" s="5">
        <v>23.8</v>
      </c>
      <c r="K80" s="5">
        <v>11.62</v>
      </c>
      <c r="L80" s="5">
        <v>10.32</v>
      </c>
      <c r="M80" s="5">
        <v>8.6999999999999993</v>
      </c>
      <c r="N80" s="5">
        <v>4.7</v>
      </c>
      <c r="O80" s="5">
        <v>3.8</v>
      </c>
      <c r="P80" s="5">
        <v>0</v>
      </c>
      <c r="Q80" s="5">
        <v>0</v>
      </c>
      <c r="R80" s="5">
        <v>2</v>
      </c>
      <c r="S80" s="5">
        <v>14.7</v>
      </c>
      <c r="T80" s="5">
        <v>8.6</v>
      </c>
      <c r="U80" s="5">
        <v>5</v>
      </c>
      <c r="V80" s="22">
        <f>3*1.3</f>
        <v>3.9000000000000004</v>
      </c>
      <c r="W80" s="5">
        <v>0</v>
      </c>
    </row>
    <row r="81" spans="1:23">
      <c r="A81" s="11">
        <v>372</v>
      </c>
      <c r="B81" s="5" t="s">
        <v>74</v>
      </c>
      <c r="C81" s="5">
        <v>0</v>
      </c>
      <c r="D81" s="5">
        <v>17.199995999999999</v>
      </c>
      <c r="E81" s="5">
        <v>76.27</v>
      </c>
      <c r="F81" s="5">
        <v>73.260000000000005</v>
      </c>
      <c r="G81" s="5">
        <v>72.63</v>
      </c>
      <c r="H81" s="5">
        <v>50.76</v>
      </c>
      <c r="I81" s="5">
        <v>32.549999999999997</v>
      </c>
      <c r="J81" s="5">
        <v>59.8</v>
      </c>
      <c r="K81" s="5">
        <v>57.12</v>
      </c>
      <c r="L81" s="5">
        <v>63.14</v>
      </c>
      <c r="M81" s="5">
        <v>54.739999999999995</v>
      </c>
      <c r="N81" s="5">
        <v>35.699999999999996</v>
      </c>
      <c r="O81" s="5">
        <v>34.54</v>
      </c>
      <c r="P81" s="5">
        <v>32.300001999999999</v>
      </c>
      <c r="Q81" s="5">
        <v>20.099999999999998</v>
      </c>
      <c r="R81" s="5">
        <v>81.500000999999997</v>
      </c>
      <c r="S81" s="5">
        <v>123.39998999999999</v>
      </c>
      <c r="T81" s="5">
        <v>48.80001</v>
      </c>
      <c r="U81" s="22">
        <f>46*2.273913</f>
        <v>104.599998</v>
      </c>
      <c r="V81" s="22">
        <f>8*2.3</f>
        <v>18.399999999999999</v>
      </c>
      <c r="W81" s="5">
        <v>3.5</v>
      </c>
    </row>
    <row r="82" spans="1:23">
      <c r="A82" s="11">
        <v>373</v>
      </c>
      <c r="B82" s="5" t="s">
        <v>75</v>
      </c>
      <c r="C82" s="5">
        <v>0</v>
      </c>
      <c r="D82" s="5">
        <v>28.900004000000003</v>
      </c>
      <c r="E82" s="5">
        <v>136.23000000000002</v>
      </c>
      <c r="F82" s="5">
        <v>179.89999999999998</v>
      </c>
      <c r="G82" s="5">
        <v>61.32</v>
      </c>
      <c r="H82" s="5">
        <v>96</v>
      </c>
      <c r="I82" s="5">
        <v>64.800000000000011</v>
      </c>
      <c r="J82" s="5">
        <v>154.24</v>
      </c>
      <c r="K82" s="5">
        <v>61.38</v>
      </c>
      <c r="L82" s="5">
        <v>128.1</v>
      </c>
      <c r="M82" s="5">
        <v>57.4</v>
      </c>
      <c r="N82" s="5">
        <v>70.5</v>
      </c>
      <c r="O82" s="5">
        <v>66.239999999999995</v>
      </c>
      <c r="P82" s="5">
        <v>42.300000000000004</v>
      </c>
      <c r="Q82" s="5">
        <v>28.999997</v>
      </c>
      <c r="R82" s="5">
        <v>42.899997000000006</v>
      </c>
      <c r="S82" s="5">
        <v>59.7</v>
      </c>
      <c r="T82" s="5">
        <v>79.900000000000006</v>
      </c>
      <c r="U82" s="5">
        <v>28.6</v>
      </c>
      <c r="V82" s="22">
        <v>5</v>
      </c>
      <c r="W82" s="22">
        <f>3*2.4</f>
        <v>7.1999999999999993</v>
      </c>
    </row>
    <row r="83" spans="1:23">
      <c r="A83" s="11">
        <v>375</v>
      </c>
      <c r="B83" s="5" t="s">
        <v>76</v>
      </c>
      <c r="C83" s="5">
        <f>49*2.355102</f>
        <v>115.399998</v>
      </c>
      <c r="D83" s="5">
        <v>127.99997999999999</v>
      </c>
      <c r="E83" s="5">
        <v>216</v>
      </c>
      <c r="F83" s="5">
        <v>167.04</v>
      </c>
      <c r="G83" s="5">
        <v>251.1</v>
      </c>
      <c r="H83" s="5">
        <v>270.57</v>
      </c>
      <c r="I83" s="5">
        <v>244.8</v>
      </c>
      <c r="J83" s="5">
        <v>327.59999999999997</v>
      </c>
      <c r="K83" s="5">
        <v>321.89999999999998</v>
      </c>
      <c r="L83" s="5">
        <v>394.24</v>
      </c>
      <c r="M83" s="5">
        <v>295.68</v>
      </c>
      <c r="N83" s="5">
        <v>268.77000000000004</v>
      </c>
      <c r="O83" s="5">
        <v>132.6</v>
      </c>
      <c r="P83" s="5">
        <v>46.600002000000003</v>
      </c>
      <c r="Q83" s="5">
        <v>36.700004</v>
      </c>
      <c r="R83" s="5">
        <v>137.4</v>
      </c>
      <c r="S83" s="5">
        <v>156.80001200000001</v>
      </c>
      <c r="T83" s="5">
        <v>30.100005000000003</v>
      </c>
      <c r="U83" s="22">
        <f>2*2.25</f>
        <v>4.5</v>
      </c>
      <c r="V83" s="22">
        <f>3*1.7</f>
        <v>5.0999999999999996</v>
      </c>
      <c r="W83" s="22">
        <f>6.4</f>
        <v>6.4</v>
      </c>
    </row>
    <row r="84" spans="1:23">
      <c r="A84" s="11">
        <v>380</v>
      </c>
      <c r="B84" s="5" t="s">
        <v>77</v>
      </c>
      <c r="C84" s="5">
        <f>99*2.670707</f>
        <v>264.39999299999999</v>
      </c>
      <c r="D84" s="5">
        <v>226.59998400000001</v>
      </c>
      <c r="E84" s="5">
        <v>221.26000000000002</v>
      </c>
      <c r="F84" s="5">
        <v>344.08</v>
      </c>
      <c r="G84" s="5">
        <v>410.41</v>
      </c>
      <c r="H84" s="5">
        <v>381.86</v>
      </c>
      <c r="I84" s="5">
        <v>312.12</v>
      </c>
      <c r="J84" s="5">
        <v>406.02</v>
      </c>
      <c r="K84" s="5">
        <v>435.20000000000005</v>
      </c>
      <c r="L84" s="5">
        <v>435.66</v>
      </c>
      <c r="M84" s="5">
        <v>360.96</v>
      </c>
      <c r="N84" s="5">
        <v>317.02000000000004</v>
      </c>
      <c r="O84" s="5">
        <v>193.44</v>
      </c>
      <c r="P84" s="5">
        <v>70.600009999999997</v>
      </c>
      <c r="Q84" s="5">
        <v>89.400001000000003</v>
      </c>
      <c r="R84" s="5">
        <v>117.99999499999998</v>
      </c>
      <c r="S84" s="5">
        <v>97.799991000000006</v>
      </c>
      <c r="T84" s="5">
        <v>102.199996</v>
      </c>
      <c r="U84" s="22">
        <f>13*2.9</f>
        <v>37.699999999999996</v>
      </c>
      <c r="V84" s="22">
        <f>14*2.157143</f>
        <v>30.200002000000001</v>
      </c>
      <c r="W84" s="22">
        <f>3*1.4</f>
        <v>4.1999999999999993</v>
      </c>
    </row>
    <row r="85" spans="1:23">
      <c r="A85" s="11">
        <v>385</v>
      </c>
      <c r="B85" s="5" t="s">
        <v>78</v>
      </c>
      <c r="C85" s="5">
        <f>44*2.640909</f>
        <v>116.19999600000001</v>
      </c>
      <c r="D85" s="5">
        <v>151.50003000000001</v>
      </c>
      <c r="E85" s="5">
        <v>153</v>
      </c>
      <c r="F85" s="5">
        <v>160.43</v>
      </c>
      <c r="G85" s="5">
        <v>170.10000000000002</v>
      </c>
      <c r="H85" s="5">
        <v>223.58999999999997</v>
      </c>
      <c r="I85" s="5">
        <v>197.34</v>
      </c>
      <c r="J85" s="5">
        <v>206.25</v>
      </c>
      <c r="K85" s="5">
        <v>236.72</v>
      </c>
      <c r="L85" s="5">
        <v>229.71</v>
      </c>
      <c r="M85" s="5">
        <v>256.88</v>
      </c>
      <c r="N85" s="5">
        <v>212.48000000000002</v>
      </c>
      <c r="O85" s="5">
        <v>121.2</v>
      </c>
      <c r="P85" s="5">
        <v>93.600006999999991</v>
      </c>
      <c r="Q85" s="5">
        <v>54.100001999999996</v>
      </c>
      <c r="R85" s="5">
        <v>199.599977</v>
      </c>
      <c r="S85" s="5">
        <v>213.89997399999999</v>
      </c>
      <c r="T85" s="5">
        <v>81.3</v>
      </c>
      <c r="U85" s="22">
        <f>15*4.12</f>
        <v>61.800000000000004</v>
      </c>
      <c r="V85" s="5">
        <v>24.9</v>
      </c>
      <c r="W85" s="22">
        <f>9*4.044444</f>
        <v>36.399996000000002</v>
      </c>
    </row>
    <row r="86" spans="1:23">
      <c r="A86" s="11">
        <v>390</v>
      </c>
      <c r="B86" s="5" t="s">
        <v>79</v>
      </c>
      <c r="C86" s="5">
        <f>22*2.136364</f>
        <v>47.000008000000001</v>
      </c>
      <c r="D86" s="5">
        <v>114.40002199999999</v>
      </c>
      <c r="E86" s="5">
        <v>92.16</v>
      </c>
      <c r="F86" s="5">
        <v>174.3</v>
      </c>
      <c r="G86" s="5">
        <v>133</v>
      </c>
      <c r="H86" s="5">
        <v>182.9</v>
      </c>
      <c r="I86" s="5">
        <v>123.48</v>
      </c>
      <c r="J86" s="5">
        <v>161.28</v>
      </c>
      <c r="K86" s="5">
        <v>135.66</v>
      </c>
      <c r="L86" s="5">
        <v>142.29</v>
      </c>
      <c r="M86" s="5">
        <v>138.45999999999998</v>
      </c>
      <c r="N86" s="5">
        <v>127.5</v>
      </c>
      <c r="O86" s="5">
        <v>63.839999999999996</v>
      </c>
      <c r="P86" s="5">
        <v>37.900002000000001</v>
      </c>
      <c r="Q86" s="5">
        <v>73.5</v>
      </c>
      <c r="R86" s="5">
        <v>92.9</v>
      </c>
      <c r="S86" s="5">
        <v>126.900015</v>
      </c>
      <c r="T86" s="5">
        <v>46.8</v>
      </c>
      <c r="U86" s="22">
        <f>8*3.3625</f>
        <v>26.9</v>
      </c>
      <c r="V86" s="22">
        <v>78.2</v>
      </c>
      <c r="W86" s="22">
        <f>6*2.833333</f>
        <v>16.999998000000001</v>
      </c>
    </row>
    <row r="87" spans="1:23">
      <c r="A87" s="11">
        <v>395</v>
      </c>
      <c r="B87" s="5" t="s">
        <v>80</v>
      </c>
      <c r="C87" s="5">
        <f>3*2.266667</f>
        <v>6.800001</v>
      </c>
      <c r="D87" s="5">
        <v>14.700000000000001</v>
      </c>
      <c r="E87" s="5">
        <v>3.6</v>
      </c>
      <c r="F87" s="5">
        <v>11.299999999999999</v>
      </c>
      <c r="G87" s="5">
        <v>4.8000000000000007</v>
      </c>
      <c r="H87" s="5">
        <v>18.2</v>
      </c>
      <c r="I87" s="5">
        <v>5.01</v>
      </c>
      <c r="J87" s="5">
        <v>5.01</v>
      </c>
      <c r="K87" s="5">
        <v>12</v>
      </c>
      <c r="L87" s="5">
        <v>16.8</v>
      </c>
      <c r="M87" s="5">
        <v>10.8</v>
      </c>
      <c r="N87" s="5">
        <v>6.99</v>
      </c>
      <c r="O87" s="5">
        <v>10.08</v>
      </c>
      <c r="P87" s="5">
        <v>1.6</v>
      </c>
      <c r="Q87" s="5">
        <v>3.800001</v>
      </c>
      <c r="R87" s="5">
        <v>14.1</v>
      </c>
      <c r="S87" s="5">
        <v>14</v>
      </c>
      <c r="T87" s="5">
        <v>11.8</v>
      </c>
      <c r="U87" s="22">
        <f>4*3.875</f>
        <v>15.5</v>
      </c>
      <c r="V87" s="5">
        <v>14.8</v>
      </c>
      <c r="W87" s="22">
        <f>8*2.425</f>
        <v>19.399999999999999</v>
      </c>
    </row>
    <row r="88" spans="1:23">
      <c r="A88" s="11">
        <v>402</v>
      </c>
      <c r="B88" s="5" t="s">
        <v>81</v>
      </c>
      <c r="C88" s="5">
        <v>0</v>
      </c>
      <c r="D88" s="5">
        <v>3.8</v>
      </c>
      <c r="E88" s="5">
        <v>1.9</v>
      </c>
      <c r="F88" s="5">
        <v>1</v>
      </c>
      <c r="G88" s="5">
        <v>0</v>
      </c>
      <c r="H88" s="5">
        <v>1</v>
      </c>
      <c r="I88" s="5">
        <v>1</v>
      </c>
      <c r="J88" s="5">
        <v>2.8</v>
      </c>
      <c r="K88" s="5">
        <v>3</v>
      </c>
      <c r="L88" s="5">
        <v>0</v>
      </c>
      <c r="M88" s="5">
        <v>4.8</v>
      </c>
      <c r="N88" s="5">
        <v>3</v>
      </c>
      <c r="O88" s="5">
        <v>0</v>
      </c>
      <c r="P88" s="5">
        <v>0</v>
      </c>
      <c r="Q88" s="5">
        <v>0</v>
      </c>
      <c r="R88" s="5">
        <v>2.8</v>
      </c>
      <c r="S88" s="5">
        <v>11.4</v>
      </c>
      <c r="T88" s="5">
        <v>0</v>
      </c>
      <c r="U88" s="5">
        <v>0</v>
      </c>
      <c r="V88" s="5">
        <v>0</v>
      </c>
      <c r="W88" s="5">
        <v>0</v>
      </c>
    </row>
    <row r="89" spans="1:23">
      <c r="A89" s="11">
        <v>403</v>
      </c>
      <c r="B89" s="5" t="s">
        <v>82</v>
      </c>
      <c r="C89" s="5">
        <v>0</v>
      </c>
      <c r="D89" s="5">
        <v>3.8</v>
      </c>
      <c r="E89" s="5">
        <v>3.8</v>
      </c>
      <c r="F89" s="5">
        <v>21.96</v>
      </c>
      <c r="G89" s="5">
        <v>0</v>
      </c>
      <c r="H89" s="5">
        <v>19.5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9</v>
      </c>
      <c r="O89" s="5">
        <v>1</v>
      </c>
      <c r="P89" s="5">
        <v>0</v>
      </c>
      <c r="Q89" s="5">
        <v>3.2</v>
      </c>
      <c r="R89" s="5">
        <v>10.6</v>
      </c>
      <c r="S89" s="5">
        <v>0</v>
      </c>
      <c r="T89" s="5">
        <v>0</v>
      </c>
      <c r="U89" s="5">
        <v>0</v>
      </c>
      <c r="V89" s="5">
        <v>1</v>
      </c>
      <c r="W89" s="5">
        <v>0</v>
      </c>
    </row>
    <row r="90" spans="1:23">
      <c r="A90" s="11">
        <v>404</v>
      </c>
      <c r="B90" s="5" t="s">
        <v>83</v>
      </c>
      <c r="C90" s="5">
        <f>6*1.7</f>
        <v>10.199999999999999</v>
      </c>
      <c r="D90" s="5">
        <v>4.4000009999999996</v>
      </c>
      <c r="E90" s="5">
        <v>5.4</v>
      </c>
      <c r="F90" s="5">
        <v>1.9</v>
      </c>
      <c r="G90" s="5">
        <v>20.88</v>
      </c>
      <c r="H90" s="5">
        <v>11.200000000000001</v>
      </c>
      <c r="I90" s="5">
        <v>11.8</v>
      </c>
      <c r="J90" s="5">
        <v>3.5</v>
      </c>
      <c r="K90" s="5">
        <v>30.400000000000002</v>
      </c>
      <c r="L90" s="5">
        <v>6</v>
      </c>
      <c r="M90" s="5">
        <v>5.8</v>
      </c>
      <c r="N90" s="5">
        <v>1.9</v>
      </c>
      <c r="O90" s="5">
        <v>0</v>
      </c>
      <c r="P90" s="5">
        <v>0</v>
      </c>
      <c r="Q90" s="5">
        <v>0</v>
      </c>
      <c r="R90" s="5">
        <v>16.799999999999997</v>
      </c>
      <c r="S90" s="5">
        <v>2.8</v>
      </c>
      <c r="T90" s="5">
        <v>5.8</v>
      </c>
      <c r="U90" s="5">
        <v>0.6</v>
      </c>
      <c r="V90" s="5">
        <v>0</v>
      </c>
      <c r="W90" s="5">
        <v>0</v>
      </c>
    </row>
    <row r="91" spans="1:23">
      <c r="A91" s="11">
        <v>411</v>
      </c>
      <c r="B91" s="5" t="s">
        <v>84</v>
      </c>
      <c r="C91" s="5">
        <v>1</v>
      </c>
      <c r="D91" s="5">
        <v>2.8</v>
      </c>
      <c r="E91" s="5">
        <v>0</v>
      </c>
      <c r="F91" s="5">
        <v>0</v>
      </c>
      <c r="G91" s="5">
        <v>2.7</v>
      </c>
      <c r="H91" s="5">
        <v>1.9</v>
      </c>
      <c r="I91" s="5">
        <v>1.9</v>
      </c>
      <c r="J91" s="5">
        <v>0</v>
      </c>
      <c r="K91" s="5">
        <v>12.6</v>
      </c>
      <c r="L91" s="5">
        <v>0</v>
      </c>
      <c r="M91" s="5">
        <v>3.4</v>
      </c>
      <c r="N91" s="5">
        <v>0</v>
      </c>
      <c r="O91" s="5">
        <v>2.2000000000000002</v>
      </c>
      <c r="P91" s="5">
        <v>6</v>
      </c>
      <c r="Q91" s="5">
        <v>23.5</v>
      </c>
      <c r="R91" s="5">
        <v>26.00001</v>
      </c>
      <c r="S91" s="5">
        <v>17.399999999999999</v>
      </c>
      <c r="T91" s="5">
        <v>33.9</v>
      </c>
      <c r="U91" s="5">
        <v>1.5</v>
      </c>
      <c r="V91" s="5">
        <v>0</v>
      </c>
      <c r="W91" s="5">
        <v>0</v>
      </c>
    </row>
    <row r="92" spans="1:23">
      <c r="A92" s="11">
        <v>420</v>
      </c>
      <c r="B92" s="5" t="s">
        <v>85</v>
      </c>
      <c r="C92" s="5">
        <f>19*1.836842</f>
        <v>34.899998000000004</v>
      </c>
      <c r="D92" s="5">
        <v>17.7</v>
      </c>
      <c r="E92" s="5">
        <v>11.2</v>
      </c>
      <c r="F92" s="5">
        <v>0</v>
      </c>
      <c r="G92" s="5">
        <v>18.27</v>
      </c>
      <c r="H92" s="5">
        <v>9.6</v>
      </c>
      <c r="I92" s="5">
        <v>4.9000000000000004</v>
      </c>
      <c r="J92" s="5">
        <v>10.199999999999999</v>
      </c>
      <c r="K92" s="5">
        <v>22.6</v>
      </c>
      <c r="L92" s="5">
        <v>23.73</v>
      </c>
      <c r="M92" s="5">
        <v>9.2099999999999991</v>
      </c>
      <c r="N92" s="5">
        <v>1</v>
      </c>
      <c r="O92" s="5">
        <v>0</v>
      </c>
      <c r="P92" s="5">
        <v>0</v>
      </c>
      <c r="Q92" s="5">
        <v>0</v>
      </c>
      <c r="R92" s="5">
        <v>11.2</v>
      </c>
      <c r="S92" s="5">
        <v>33.9</v>
      </c>
      <c r="T92" s="5">
        <v>3.4</v>
      </c>
      <c r="U92" s="5">
        <v>0</v>
      </c>
      <c r="V92" s="5">
        <v>2.8</v>
      </c>
      <c r="W92" s="5">
        <v>0</v>
      </c>
    </row>
    <row r="93" spans="1:23">
      <c r="A93" s="11">
        <v>432</v>
      </c>
      <c r="B93" s="5" t="s">
        <v>86</v>
      </c>
      <c r="C93" s="5">
        <f>4*2.125</f>
        <v>8.5</v>
      </c>
      <c r="D93" s="5">
        <v>14.800001999999999</v>
      </c>
      <c r="E93" s="5">
        <v>23.400000000000002</v>
      </c>
      <c r="F93" s="5">
        <v>13.379999999999999</v>
      </c>
      <c r="G93" s="5">
        <v>10.5</v>
      </c>
      <c r="H93" s="5">
        <v>16.830000000000002</v>
      </c>
      <c r="I93" s="5">
        <v>25.87</v>
      </c>
      <c r="J93" s="5">
        <v>54</v>
      </c>
      <c r="K93" s="5">
        <v>28.7</v>
      </c>
      <c r="L93" s="5">
        <v>9.92</v>
      </c>
      <c r="M93" s="5">
        <v>7.8000000000000007</v>
      </c>
      <c r="N93" s="5">
        <v>22.3</v>
      </c>
      <c r="O93" s="5">
        <v>10.4</v>
      </c>
      <c r="P93" s="5">
        <v>10.400001</v>
      </c>
      <c r="Q93" s="5">
        <v>26.9</v>
      </c>
      <c r="R93" s="5">
        <v>28.599999999999998</v>
      </c>
      <c r="S93" s="5">
        <v>57.399993000000002</v>
      </c>
      <c r="T93" s="5">
        <v>14.700000000000001</v>
      </c>
      <c r="U93" s="22">
        <f>2*3.2</f>
        <v>6.4</v>
      </c>
      <c r="V93" s="5">
        <v>6.6</v>
      </c>
      <c r="W93" s="5">
        <v>0</v>
      </c>
    </row>
    <row r="94" spans="1:23">
      <c r="A94" s="11">
        <v>433</v>
      </c>
      <c r="B94" s="5" t="s">
        <v>87</v>
      </c>
      <c r="C94" s="5">
        <f>18*2.088889</f>
        <v>37.600002000000003</v>
      </c>
      <c r="D94" s="5">
        <v>46.499991999999999</v>
      </c>
      <c r="E94" s="5">
        <v>21.2</v>
      </c>
      <c r="F94" s="5">
        <v>21.44</v>
      </c>
      <c r="G94" s="5">
        <v>45.64</v>
      </c>
      <c r="H94" s="5">
        <v>44.88</v>
      </c>
      <c r="I94" s="5">
        <v>24.53</v>
      </c>
      <c r="J94" s="5">
        <v>42.84</v>
      </c>
      <c r="K94" s="5">
        <v>23.6</v>
      </c>
      <c r="L94" s="5">
        <v>23.76</v>
      </c>
      <c r="M94" s="5">
        <v>26.65</v>
      </c>
      <c r="N94" s="5">
        <v>17.600000000000001</v>
      </c>
      <c r="O94" s="5">
        <v>24.75</v>
      </c>
      <c r="P94" s="5">
        <v>5.6</v>
      </c>
      <c r="Q94" s="5">
        <v>15.800001000000002</v>
      </c>
      <c r="R94" s="5">
        <v>49.900004000000003</v>
      </c>
      <c r="S94" s="5">
        <v>93.800000000000011</v>
      </c>
      <c r="T94" s="5">
        <v>49.399997999999997</v>
      </c>
      <c r="U94" s="22">
        <f>2*2.1</f>
        <v>4.2</v>
      </c>
      <c r="V94" s="5">
        <v>1.9</v>
      </c>
      <c r="W94" s="5">
        <v>0</v>
      </c>
    </row>
    <row r="95" spans="1:23">
      <c r="A95" s="11">
        <v>434</v>
      </c>
      <c r="B95" s="5" t="s">
        <v>88</v>
      </c>
      <c r="C95" s="5">
        <v>1.9</v>
      </c>
      <c r="D95" s="5">
        <v>2.9</v>
      </c>
      <c r="E95" s="5">
        <v>1.9</v>
      </c>
      <c r="F95" s="5">
        <v>7.92</v>
      </c>
      <c r="G95" s="5">
        <v>20.52</v>
      </c>
      <c r="H95" s="5">
        <v>15.9</v>
      </c>
      <c r="I95" s="5">
        <v>7.89</v>
      </c>
      <c r="J95" s="5">
        <v>1</v>
      </c>
      <c r="K95" s="5">
        <v>2.9</v>
      </c>
      <c r="L95" s="5">
        <v>3.8</v>
      </c>
      <c r="M95" s="5">
        <v>1</v>
      </c>
      <c r="N95" s="5">
        <v>2.8</v>
      </c>
      <c r="O95" s="5">
        <v>0</v>
      </c>
      <c r="P95" s="5">
        <v>7.6</v>
      </c>
      <c r="Q95" s="5">
        <v>24</v>
      </c>
      <c r="R95" s="5">
        <v>13.399998</v>
      </c>
      <c r="S95" s="5">
        <v>37.499994000000001</v>
      </c>
      <c r="T95" s="5">
        <v>4.4000000000000004</v>
      </c>
      <c r="U95" s="22">
        <f>2*2.35</f>
        <v>4.7</v>
      </c>
      <c r="V95" s="5">
        <v>0</v>
      </c>
      <c r="W95" s="5">
        <v>0</v>
      </c>
    </row>
    <row r="96" spans="1:23">
      <c r="A96" s="11">
        <v>435</v>
      </c>
      <c r="B96" s="5" t="s">
        <v>89</v>
      </c>
      <c r="C96" s="5">
        <f>20*2.03</f>
        <v>40.599999999999994</v>
      </c>
      <c r="D96" s="5">
        <v>22.599999999999998</v>
      </c>
      <c r="E96" s="5">
        <v>17.600000000000001</v>
      </c>
      <c r="F96" s="5">
        <v>12</v>
      </c>
      <c r="G96" s="5">
        <v>22.38</v>
      </c>
      <c r="H96" s="5">
        <v>28.6</v>
      </c>
      <c r="I96" s="5">
        <v>8.52</v>
      </c>
      <c r="J96" s="5">
        <v>10.600000000000001</v>
      </c>
      <c r="K96" s="5">
        <v>5.8</v>
      </c>
      <c r="L96" s="5">
        <v>21</v>
      </c>
      <c r="M96" s="5">
        <v>31</v>
      </c>
      <c r="N96" s="5">
        <v>6</v>
      </c>
      <c r="O96" s="5">
        <v>4.7</v>
      </c>
      <c r="P96" s="5">
        <v>0</v>
      </c>
      <c r="Q96" s="5">
        <v>2.8</v>
      </c>
      <c r="R96" s="5">
        <v>25.400001</v>
      </c>
      <c r="S96" s="5">
        <v>35.499997</v>
      </c>
      <c r="T96" s="5">
        <v>15</v>
      </c>
      <c r="U96" s="5">
        <v>0</v>
      </c>
      <c r="V96" s="22">
        <f>2*1.25</f>
        <v>2.5</v>
      </c>
      <c r="W96" s="5">
        <v>0.6</v>
      </c>
    </row>
    <row r="97" spans="1:23">
      <c r="A97" s="11">
        <v>436</v>
      </c>
      <c r="B97" s="5" t="s">
        <v>90</v>
      </c>
      <c r="C97" s="5">
        <v>1.9</v>
      </c>
      <c r="D97" s="5">
        <v>0</v>
      </c>
      <c r="E97" s="5">
        <v>19.898999999999997</v>
      </c>
      <c r="F97" s="5">
        <v>21.9</v>
      </c>
      <c r="G97" s="5">
        <v>47.25</v>
      </c>
      <c r="H97" s="5">
        <v>40.65</v>
      </c>
      <c r="I97" s="5">
        <v>8.92</v>
      </c>
      <c r="J97" s="5">
        <v>27.709999999999997</v>
      </c>
      <c r="K97" s="5">
        <v>29.700000000000003</v>
      </c>
      <c r="L97" s="5">
        <v>7.7</v>
      </c>
      <c r="M97" s="5">
        <v>18.899999999999999</v>
      </c>
      <c r="N97" s="5">
        <v>0</v>
      </c>
      <c r="O97" s="5">
        <v>0</v>
      </c>
      <c r="P97" s="5">
        <v>3.8</v>
      </c>
      <c r="Q97" s="5">
        <v>24</v>
      </c>
      <c r="R97" s="5">
        <v>48.099996000000004</v>
      </c>
      <c r="S97" s="5">
        <v>34.799996</v>
      </c>
      <c r="T97" s="5">
        <v>15.299997999999999</v>
      </c>
      <c r="U97" s="22">
        <f>2*1.9</f>
        <v>3.8</v>
      </c>
      <c r="V97" s="5">
        <v>6</v>
      </c>
      <c r="W97" s="22">
        <f>13*2.892308</f>
        <v>37.600003999999998</v>
      </c>
    </row>
    <row r="98" spans="1:23">
      <c r="A98" s="11">
        <v>437</v>
      </c>
      <c r="B98" s="5" t="s">
        <v>91</v>
      </c>
      <c r="C98" s="5">
        <f>7*1.857143</f>
        <v>13.000000999999999</v>
      </c>
      <c r="D98" s="5">
        <v>42.2</v>
      </c>
      <c r="E98" s="5">
        <v>36.150000000000006</v>
      </c>
      <c r="F98" s="5">
        <v>56.88</v>
      </c>
      <c r="G98" s="5">
        <v>77.759999999999991</v>
      </c>
      <c r="H98" s="5">
        <v>46.620000000000005</v>
      </c>
      <c r="I98" s="5">
        <v>35.869999999999997</v>
      </c>
      <c r="J98" s="5">
        <v>43.52</v>
      </c>
      <c r="K98" s="5">
        <v>36.96</v>
      </c>
      <c r="L98" s="5">
        <v>58.17</v>
      </c>
      <c r="M98" s="5">
        <v>37.76</v>
      </c>
      <c r="N98" s="5">
        <v>17.91</v>
      </c>
      <c r="O98" s="5">
        <v>28.5</v>
      </c>
      <c r="P98" s="5">
        <v>42.299990000000001</v>
      </c>
      <c r="Q98" s="5">
        <v>67.800007000000008</v>
      </c>
      <c r="R98" s="5">
        <v>136.200007</v>
      </c>
      <c r="S98" s="5">
        <v>66.599995000000007</v>
      </c>
      <c r="T98" s="5">
        <v>23.1</v>
      </c>
      <c r="U98" s="5">
        <v>3.3</v>
      </c>
      <c r="V98" s="5">
        <v>0</v>
      </c>
      <c r="W98" s="5">
        <v>0</v>
      </c>
    </row>
    <row r="99" spans="1:23">
      <c r="A99" s="11">
        <v>438</v>
      </c>
      <c r="B99" s="5" t="s">
        <v>92</v>
      </c>
      <c r="C99" s="5">
        <f>7*2.742857</f>
        <v>19.199998999999998</v>
      </c>
      <c r="D99" s="5">
        <v>3.9000000000000004</v>
      </c>
      <c r="E99" s="5">
        <v>2.8</v>
      </c>
      <c r="F99" s="5">
        <v>15.899999999999999</v>
      </c>
      <c r="G99" s="5">
        <v>2.8</v>
      </c>
      <c r="H99" s="5">
        <v>10.8</v>
      </c>
      <c r="I99" s="5">
        <v>17.78</v>
      </c>
      <c r="J99" s="5">
        <v>9.6</v>
      </c>
      <c r="K99" s="5">
        <v>2.5</v>
      </c>
      <c r="L99" s="5">
        <v>19.12</v>
      </c>
      <c r="M99" s="5">
        <v>17.989999999999998</v>
      </c>
      <c r="N99" s="5">
        <v>18.13</v>
      </c>
      <c r="O99" s="5">
        <v>1.9</v>
      </c>
      <c r="P99" s="5">
        <v>5.6</v>
      </c>
      <c r="Q99" s="5">
        <v>26.900001</v>
      </c>
      <c r="R99" s="5">
        <v>1.9</v>
      </c>
      <c r="S99" s="5">
        <v>16.900002000000001</v>
      </c>
      <c r="T99" s="5">
        <v>18.700002999999999</v>
      </c>
      <c r="U99" s="22">
        <f>3*1.4</f>
        <v>4.1999999999999993</v>
      </c>
      <c r="V99" s="22">
        <f>3*2.7</f>
        <v>8.1000000000000014</v>
      </c>
      <c r="W99" s="5">
        <v>2</v>
      </c>
    </row>
    <row r="100" spans="1:23">
      <c r="A100" s="11">
        <v>439</v>
      </c>
      <c r="B100" s="5" t="s">
        <v>93</v>
      </c>
      <c r="C100" s="5">
        <f>2*2.2</f>
        <v>4.4000000000000004</v>
      </c>
      <c r="D100" s="5">
        <v>1.9</v>
      </c>
      <c r="E100" s="5">
        <v>1.9</v>
      </c>
      <c r="F100" s="5">
        <v>14.28</v>
      </c>
      <c r="G100" s="5">
        <v>22.88</v>
      </c>
      <c r="H100" s="5">
        <v>13.899999999999999</v>
      </c>
      <c r="I100" s="5">
        <v>4.0999999999999996</v>
      </c>
      <c r="J100" s="5">
        <v>32.58</v>
      </c>
      <c r="K100" s="5">
        <v>26.52</v>
      </c>
      <c r="L100" s="5">
        <v>11.299999999999999</v>
      </c>
      <c r="M100" s="5">
        <v>2.8</v>
      </c>
      <c r="N100" s="5">
        <v>0.8</v>
      </c>
      <c r="O100" s="5">
        <v>0</v>
      </c>
      <c r="P100" s="5">
        <v>1.5</v>
      </c>
      <c r="Q100" s="5">
        <v>28.700000000000003</v>
      </c>
      <c r="R100" s="5">
        <v>5.6</v>
      </c>
      <c r="S100" s="5">
        <v>6.800001</v>
      </c>
      <c r="T100" s="5">
        <v>14.800001999999999</v>
      </c>
      <c r="U100" s="5">
        <v>0</v>
      </c>
      <c r="V100" s="5">
        <v>0</v>
      </c>
      <c r="W100" s="5">
        <v>2.8</v>
      </c>
    </row>
    <row r="101" spans="1:23">
      <c r="A101" s="11">
        <v>450</v>
      </c>
      <c r="B101" s="5" t="s">
        <v>94</v>
      </c>
      <c r="C101" s="5">
        <f>24*2.445833</f>
        <v>58.699991999999995</v>
      </c>
      <c r="D101" s="5">
        <v>21.300006</v>
      </c>
      <c r="E101" s="5">
        <v>12.11</v>
      </c>
      <c r="F101" s="5">
        <v>22.080000000000002</v>
      </c>
      <c r="G101" s="5">
        <v>42.32</v>
      </c>
      <c r="H101" s="5">
        <v>22.12</v>
      </c>
      <c r="I101" s="5">
        <v>28.6</v>
      </c>
      <c r="J101" s="5">
        <v>36.799999999999997</v>
      </c>
      <c r="K101" s="5">
        <v>30.36</v>
      </c>
      <c r="L101" s="5">
        <v>49.14</v>
      </c>
      <c r="M101" s="5">
        <v>53.820000000000007</v>
      </c>
      <c r="N101" s="5">
        <v>14.280000000000001</v>
      </c>
      <c r="O101" s="5">
        <v>10.199999999999999</v>
      </c>
      <c r="P101" s="5">
        <v>75.600000000000009</v>
      </c>
      <c r="Q101" s="5">
        <v>11.5</v>
      </c>
      <c r="R101" s="5">
        <v>38.299994999999996</v>
      </c>
      <c r="S101" s="5">
        <v>50.30001</v>
      </c>
      <c r="T101" s="5">
        <v>43.699999999999996</v>
      </c>
      <c r="U101" s="5">
        <v>2.8</v>
      </c>
      <c r="V101" s="5">
        <v>5.6</v>
      </c>
      <c r="W101" s="5">
        <v>0</v>
      </c>
    </row>
    <row r="102" spans="1:23">
      <c r="A102" s="11">
        <v>451</v>
      </c>
      <c r="B102" s="5" t="s">
        <v>95</v>
      </c>
      <c r="C102" s="5">
        <f>9*3.355556</f>
        <v>30.200004</v>
      </c>
      <c r="D102" s="5">
        <v>5.4999990000000007</v>
      </c>
      <c r="E102" s="5">
        <v>32.160000000000004</v>
      </c>
      <c r="F102" s="5">
        <v>16.919999999999998</v>
      </c>
      <c r="G102" s="5">
        <v>24.32</v>
      </c>
      <c r="H102" s="5">
        <v>20.3</v>
      </c>
      <c r="I102" s="5">
        <v>29.76</v>
      </c>
      <c r="J102" s="5">
        <v>40.96</v>
      </c>
      <c r="K102" s="5">
        <v>17.8</v>
      </c>
      <c r="L102" s="5">
        <v>72.5</v>
      </c>
      <c r="M102" s="5">
        <v>41.42</v>
      </c>
      <c r="N102" s="5">
        <v>12.39</v>
      </c>
      <c r="O102" s="5">
        <v>6.8999999999999995</v>
      </c>
      <c r="P102" s="5">
        <v>7.5</v>
      </c>
      <c r="Q102" s="5">
        <v>6.3000000000000007</v>
      </c>
      <c r="R102" s="5">
        <v>19.799999999999997</v>
      </c>
      <c r="S102" s="5">
        <v>27.800006</v>
      </c>
      <c r="T102" s="5">
        <v>28.900003000000002</v>
      </c>
      <c r="U102" s="5">
        <v>2.2000000000000002</v>
      </c>
      <c r="V102" s="5">
        <v>0</v>
      </c>
      <c r="W102" s="5">
        <v>0</v>
      </c>
    </row>
    <row r="103" spans="1:23">
      <c r="A103" s="11">
        <v>452</v>
      </c>
      <c r="B103" s="5" t="s">
        <v>96</v>
      </c>
      <c r="C103" s="5">
        <f>7*1.814286</f>
        <v>12.700002000000001</v>
      </c>
      <c r="D103" s="5">
        <v>24.5</v>
      </c>
      <c r="E103" s="5">
        <v>2.8</v>
      </c>
      <c r="F103" s="5">
        <v>30.939999999999998</v>
      </c>
      <c r="G103" s="5">
        <v>58.25</v>
      </c>
      <c r="H103" s="5">
        <v>72.8</v>
      </c>
      <c r="I103" s="5">
        <v>27.43</v>
      </c>
      <c r="J103" s="5">
        <v>40.799999999999997</v>
      </c>
      <c r="K103" s="5">
        <v>66.42</v>
      </c>
      <c r="L103" s="5">
        <v>44.27</v>
      </c>
      <c r="M103" s="5">
        <v>29.4</v>
      </c>
      <c r="N103" s="5">
        <v>6.8000000000000007</v>
      </c>
      <c r="O103" s="5">
        <v>17.899999999999999</v>
      </c>
      <c r="P103" s="5">
        <v>21.300004000000001</v>
      </c>
      <c r="Q103" s="5">
        <v>13.700000000000001</v>
      </c>
      <c r="R103" s="5">
        <v>31.299996000000004</v>
      </c>
      <c r="S103" s="5">
        <v>55.799998000000002</v>
      </c>
      <c r="T103" s="5">
        <v>15.499998000000001</v>
      </c>
      <c r="U103" s="22">
        <f>6*2.633333</f>
        <v>15.799997999999999</v>
      </c>
      <c r="V103" s="22">
        <f>6*2.8</f>
        <v>16.799999999999997</v>
      </c>
      <c r="W103" s="22">
        <v>7.9</v>
      </c>
    </row>
    <row r="104" spans="1:23">
      <c r="A104" s="11">
        <v>461</v>
      </c>
      <c r="B104" s="5" t="s">
        <v>97</v>
      </c>
      <c r="C104" s="5">
        <f>3*1.6</f>
        <v>4.8000000000000007</v>
      </c>
      <c r="D104" s="5">
        <v>14.699997</v>
      </c>
      <c r="E104" s="5">
        <v>2.8</v>
      </c>
      <c r="F104" s="5">
        <v>26.619999999999997</v>
      </c>
      <c r="G104" s="5">
        <v>26.55</v>
      </c>
      <c r="H104" s="5">
        <v>17.290000000000003</v>
      </c>
      <c r="I104" s="5">
        <v>17.82</v>
      </c>
      <c r="J104" s="5">
        <v>19.920000000000002</v>
      </c>
      <c r="K104" s="5">
        <v>21.04</v>
      </c>
      <c r="L104" s="5">
        <v>48.3</v>
      </c>
      <c r="M104" s="5">
        <v>16.830000000000002</v>
      </c>
      <c r="N104" s="5">
        <v>2.8</v>
      </c>
      <c r="O104" s="5">
        <v>24.48</v>
      </c>
      <c r="P104" s="5">
        <v>4.8000000000000007</v>
      </c>
      <c r="Q104" s="5">
        <v>3.4</v>
      </c>
      <c r="R104" s="5">
        <v>37.299990000000001</v>
      </c>
      <c r="S104" s="5">
        <v>3.8</v>
      </c>
      <c r="T104" s="5">
        <v>0</v>
      </c>
      <c r="U104" s="5">
        <v>0</v>
      </c>
      <c r="V104" s="22">
        <v>0.6</v>
      </c>
      <c r="W104" s="5">
        <v>0</v>
      </c>
    </row>
    <row r="105" spans="1:23">
      <c r="A105" s="11">
        <v>471</v>
      </c>
      <c r="B105" s="5" t="s">
        <v>98</v>
      </c>
      <c r="C105" s="5">
        <f>6*2.566667</f>
        <v>15.400001999999999</v>
      </c>
      <c r="D105" s="5">
        <v>18.8</v>
      </c>
      <c r="E105" s="5">
        <v>2.9</v>
      </c>
      <c r="F105" s="5">
        <v>20.72</v>
      </c>
      <c r="G105" s="5">
        <v>36.54</v>
      </c>
      <c r="H105" s="5">
        <v>1</v>
      </c>
      <c r="I105" s="5">
        <v>19.080000000000002</v>
      </c>
      <c r="J105" s="5">
        <v>13.41</v>
      </c>
      <c r="K105" s="5">
        <v>14.77</v>
      </c>
      <c r="L105" s="5">
        <v>24.99</v>
      </c>
      <c r="M105" s="5">
        <v>11.899999999999999</v>
      </c>
      <c r="N105" s="5">
        <v>4.5</v>
      </c>
      <c r="O105" s="5">
        <v>4.8000000000000007</v>
      </c>
      <c r="P105" s="5">
        <v>10.600000000000001</v>
      </c>
      <c r="Q105" s="5">
        <v>29.199996000000002</v>
      </c>
      <c r="R105" s="5">
        <v>7.5</v>
      </c>
      <c r="S105" s="5">
        <v>6.1</v>
      </c>
      <c r="T105" s="5">
        <v>31.200000000000003</v>
      </c>
      <c r="U105" s="5">
        <v>3</v>
      </c>
      <c r="V105" s="5">
        <v>0</v>
      </c>
      <c r="W105" s="5">
        <v>0</v>
      </c>
    </row>
    <row r="106" spans="1:23">
      <c r="A106" s="11">
        <v>475</v>
      </c>
      <c r="B106" s="5" t="s">
        <v>99</v>
      </c>
      <c r="C106" s="5">
        <f>47*2.325532</f>
        <v>109.300004</v>
      </c>
      <c r="D106" s="5">
        <v>104.60000600000001</v>
      </c>
      <c r="E106" s="5">
        <v>106.2</v>
      </c>
      <c r="F106" s="5">
        <v>100.86</v>
      </c>
      <c r="G106" s="5">
        <v>97.92</v>
      </c>
      <c r="H106" s="5">
        <v>105.55999999999999</v>
      </c>
      <c r="I106" s="5">
        <v>121.89</v>
      </c>
      <c r="J106" s="5">
        <v>80.410000000000011</v>
      </c>
      <c r="K106" s="5">
        <v>159.38999999999999</v>
      </c>
      <c r="L106" s="5">
        <v>166.04999999999998</v>
      </c>
      <c r="M106" s="5">
        <v>169.49999999999997</v>
      </c>
      <c r="N106" s="5">
        <v>124.88</v>
      </c>
      <c r="O106" s="5">
        <v>83.16</v>
      </c>
      <c r="P106" s="5">
        <v>117.89999999999999</v>
      </c>
      <c r="Q106" s="5">
        <v>136.59999500000001</v>
      </c>
      <c r="R106" s="5">
        <v>332.09999099999999</v>
      </c>
      <c r="S106" s="5">
        <v>226.79999100000001</v>
      </c>
      <c r="T106" s="5">
        <v>131.299994</v>
      </c>
      <c r="U106" s="22">
        <v>69.900000000000006</v>
      </c>
      <c r="V106" s="22">
        <f>40*2.59</f>
        <v>103.6</v>
      </c>
      <c r="W106" s="22">
        <f>17*2.288235</f>
        <v>38.899994999999997</v>
      </c>
    </row>
    <row r="107" spans="1:23">
      <c r="A107" s="11">
        <v>481</v>
      </c>
      <c r="B107" s="5" t="s">
        <v>100</v>
      </c>
      <c r="C107" s="5">
        <v>31</v>
      </c>
      <c r="D107" s="5">
        <v>11.299999999999999</v>
      </c>
      <c r="E107" s="5">
        <v>5.4</v>
      </c>
      <c r="F107" s="5">
        <v>27.36</v>
      </c>
      <c r="G107" s="5">
        <v>10.11</v>
      </c>
      <c r="H107" s="5">
        <v>20.97</v>
      </c>
      <c r="I107" s="5">
        <v>9.4</v>
      </c>
      <c r="J107" s="5">
        <v>33.6</v>
      </c>
      <c r="K107" s="5">
        <v>9.4</v>
      </c>
      <c r="L107" s="5">
        <v>15.2</v>
      </c>
      <c r="M107" s="5">
        <v>14.700000000000001</v>
      </c>
      <c r="N107" s="5">
        <v>8.7200000000000006</v>
      </c>
      <c r="O107" s="5">
        <v>0</v>
      </c>
      <c r="P107" s="5">
        <v>1.9</v>
      </c>
      <c r="Q107" s="5">
        <v>11.6</v>
      </c>
      <c r="R107" s="5">
        <v>22.899995999999998</v>
      </c>
      <c r="S107" s="5">
        <v>25.2</v>
      </c>
      <c r="T107" s="5">
        <v>9</v>
      </c>
      <c r="U107" s="5">
        <v>0</v>
      </c>
      <c r="V107" s="5">
        <v>0</v>
      </c>
      <c r="W107" s="5">
        <v>4.5999999999999996</v>
      </c>
    </row>
    <row r="108" spans="1:23">
      <c r="A108" s="11">
        <v>482</v>
      </c>
      <c r="B108" s="5" t="s">
        <v>101</v>
      </c>
      <c r="C108" s="5">
        <f>3*2.1</f>
        <v>6.3000000000000007</v>
      </c>
      <c r="D108" s="5">
        <v>3</v>
      </c>
      <c r="E108" s="5">
        <v>1.9</v>
      </c>
      <c r="F108" s="5">
        <v>1.9</v>
      </c>
      <c r="G108" s="5">
        <v>8.1199999999999992</v>
      </c>
      <c r="H108" s="5">
        <v>1.9</v>
      </c>
      <c r="I108" s="5">
        <v>10.29</v>
      </c>
      <c r="J108" s="5">
        <v>27.8</v>
      </c>
      <c r="K108" s="5">
        <v>14.42</v>
      </c>
      <c r="L108" s="5">
        <v>17.600000000000001</v>
      </c>
      <c r="M108" s="5">
        <v>10.32</v>
      </c>
      <c r="N108" s="5">
        <v>3.8</v>
      </c>
      <c r="O108" s="5">
        <v>1.9</v>
      </c>
      <c r="P108" s="5">
        <v>0</v>
      </c>
      <c r="Q108" s="5">
        <v>17.599997999999999</v>
      </c>
      <c r="R108" s="5">
        <v>1.9</v>
      </c>
      <c r="S108" s="5">
        <v>10.599999</v>
      </c>
      <c r="T108" s="5">
        <v>8.4</v>
      </c>
      <c r="U108" s="5">
        <v>0</v>
      </c>
      <c r="V108" s="5">
        <v>2.2000000000000002</v>
      </c>
      <c r="W108" s="5">
        <v>2.2000000000000002</v>
      </c>
    </row>
    <row r="109" spans="1:23">
      <c r="A109" s="11">
        <v>483</v>
      </c>
      <c r="B109" s="5" t="s">
        <v>102</v>
      </c>
      <c r="C109" s="5">
        <f>16*1.575</f>
        <v>25.2</v>
      </c>
      <c r="D109" s="5">
        <v>14.100001999999998</v>
      </c>
      <c r="E109" s="5">
        <v>15.03</v>
      </c>
      <c r="F109" s="5">
        <v>4.8000000000000007</v>
      </c>
      <c r="G109" s="5">
        <v>17.100000000000001</v>
      </c>
      <c r="H109" s="5">
        <v>14.069999999999999</v>
      </c>
      <c r="I109" s="5">
        <v>5.6999999999999993</v>
      </c>
      <c r="J109" s="5">
        <v>29.6</v>
      </c>
      <c r="K109" s="5">
        <v>50.66</v>
      </c>
      <c r="L109" s="5">
        <v>10.9</v>
      </c>
      <c r="M109" s="5">
        <v>10.92</v>
      </c>
      <c r="N109" s="5">
        <v>0</v>
      </c>
      <c r="O109" s="5">
        <v>6.6000000000000005</v>
      </c>
      <c r="P109" s="5">
        <v>6.8</v>
      </c>
      <c r="Q109" s="5">
        <v>32.199995999999999</v>
      </c>
      <c r="R109" s="5">
        <v>39.600003999999998</v>
      </c>
      <c r="S109" s="5">
        <v>72.900002999999998</v>
      </c>
      <c r="T109" s="5">
        <v>77.899999999999991</v>
      </c>
      <c r="U109" s="22">
        <f>8*2.75</f>
        <v>22</v>
      </c>
      <c r="V109" s="5">
        <v>10.4</v>
      </c>
      <c r="W109" s="5">
        <v>1.9</v>
      </c>
    </row>
    <row r="110" spans="1:23">
      <c r="A110" s="11">
        <v>484</v>
      </c>
      <c r="B110" s="5" t="s">
        <v>103</v>
      </c>
      <c r="C110" s="5">
        <f>3*2.5</f>
        <v>7.5</v>
      </c>
      <c r="D110" s="5">
        <v>16.099997999999999</v>
      </c>
      <c r="E110" s="5">
        <v>30.36</v>
      </c>
      <c r="F110" s="5">
        <v>13</v>
      </c>
      <c r="G110" s="5">
        <v>16</v>
      </c>
      <c r="H110" s="5">
        <v>20.72</v>
      </c>
      <c r="I110" s="5">
        <v>16.080000000000002</v>
      </c>
      <c r="J110" s="5">
        <v>97.52000000000001</v>
      </c>
      <c r="K110" s="5">
        <v>37.44</v>
      </c>
      <c r="L110" s="5">
        <v>7.8000000000000007</v>
      </c>
      <c r="M110" s="5">
        <v>17.7</v>
      </c>
      <c r="N110" s="5">
        <v>38.160000000000004</v>
      </c>
      <c r="O110" s="5">
        <v>22</v>
      </c>
      <c r="P110" s="5">
        <v>3.8</v>
      </c>
      <c r="Q110" s="5">
        <v>8.5</v>
      </c>
      <c r="R110" s="5">
        <v>16.699998000000001</v>
      </c>
      <c r="S110" s="5">
        <v>17.299999799999998</v>
      </c>
      <c r="T110" s="5">
        <v>47.1</v>
      </c>
      <c r="U110" s="5">
        <v>1</v>
      </c>
      <c r="V110" s="5">
        <v>3</v>
      </c>
      <c r="W110" s="22">
        <v>8.1999999999999993</v>
      </c>
    </row>
    <row r="111" spans="1:23">
      <c r="A111" s="11">
        <v>490</v>
      </c>
      <c r="B111" s="5" t="s">
        <v>104</v>
      </c>
      <c r="C111" s="5">
        <f>11*2.263636</f>
        <v>24.899996000000002</v>
      </c>
      <c r="D111" s="5">
        <v>61.100009999999997</v>
      </c>
      <c r="E111" s="5">
        <v>26.24</v>
      </c>
      <c r="F111" s="5">
        <v>48.069999999999993</v>
      </c>
      <c r="G111" s="5">
        <v>59.75</v>
      </c>
      <c r="H111" s="5">
        <v>76.14</v>
      </c>
      <c r="I111" s="5">
        <v>93.6</v>
      </c>
      <c r="J111" s="5">
        <v>342.40000000000003</v>
      </c>
      <c r="K111" s="5">
        <v>128.26</v>
      </c>
      <c r="L111" s="5">
        <v>62.639999999999993</v>
      </c>
      <c r="M111" s="5">
        <v>65.25</v>
      </c>
      <c r="N111" s="5">
        <v>47.849999999999994</v>
      </c>
      <c r="O111" s="5">
        <v>25.2</v>
      </c>
      <c r="P111" s="5">
        <v>21.199998000000001</v>
      </c>
      <c r="Q111" s="5">
        <v>25.399996999999999</v>
      </c>
      <c r="R111" s="5">
        <v>72.799996999999991</v>
      </c>
      <c r="S111" s="5">
        <v>42.400008</v>
      </c>
      <c r="T111" s="5">
        <v>79.800008999999989</v>
      </c>
      <c r="U111" s="22">
        <f>11*2.1</f>
        <v>23.1</v>
      </c>
      <c r="V111" s="22">
        <v>9.4</v>
      </c>
      <c r="W111" s="5">
        <v>1.5</v>
      </c>
    </row>
    <row r="112" spans="1:23">
      <c r="A112" s="11">
        <v>500</v>
      </c>
      <c r="B112" s="5" t="s">
        <v>105</v>
      </c>
      <c r="C112" s="5">
        <f>29*2.541379</f>
        <v>73.699990999999997</v>
      </c>
      <c r="D112" s="5">
        <v>29.100005000000003</v>
      </c>
      <c r="E112" s="5">
        <v>25.08</v>
      </c>
      <c r="F112" s="5">
        <v>48.51</v>
      </c>
      <c r="G112" s="5">
        <v>37.839999999999996</v>
      </c>
      <c r="H112" s="5">
        <v>63.86</v>
      </c>
      <c r="I112" s="5">
        <v>98.100000000000009</v>
      </c>
      <c r="J112" s="5">
        <v>51.33</v>
      </c>
      <c r="K112" s="5">
        <v>78.44</v>
      </c>
      <c r="L112" s="5">
        <v>79.36</v>
      </c>
      <c r="M112" s="5">
        <v>68.64</v>
      </c>
      <c r="N112" s="5">
        <v>37.5</v>
      </c>
      <c r="O112" s="5">
        <v>27.119999999999997</v>
      </c>
      <c r="P112" s="5">
        <v>28.499998999999999</v>
      </c>
      <c r="Q112" s="5">
        <v>17.500001999999999</v>
      </c>
      <c r="R112" s="5">
        <v>57.699998999999998</v>
      </c>
      <c r="S112" s="5">
        <v>89.099999000000011</v>
      </c>
      <c r="T112" s="5">
        <v>61.999986</v>
      </c>
      <c r="U112" s="22">
        <f>6*2.233333</f>
        <v>13.399998</v>
      </c>
      <c r="V112" s="5">
        <v>3</v>
      </c>
      <c r="W112" s="22">
        <f>6*2.066667</f>
        <v>12.400001999999999</v>
      </c>
    </row>
    <row r="113" spans="1:23">
      <c r="A113" s="11">
        <v>501</v>
      </c>
      <c r="B113" s="5" t="s">
        <v>106</v>
      </c>
      <c r="C113" s="5">
        <f>21*2.542857</f>
        <v>53.399997000000006</v>
      </c>
      <c r="D113" s="5">
        <v>60</v>
      </c>
      <c r="E113" s="5">
        <v>29.04</v>
      </c>
      <c r="F113" s="5">
        <v>51.5</v>
      </c>
      <c r="G113" s="5">
        <v>71.05</v>
      </c>
      <c r="H113" s="5">
        <v>65.75</v>
      </c>
      <c r="I113" s="5">
        <v>89.699999999999989</v>
      </c>
      <c r="J113" s="5">
        <v>80.52</v>
      </c>
      <c r="K113" s="5">
        <v>112.4</v>
      </c>
      <c r="L113" s="5">
        <v>54.56</v>
      </c>
      <c r="M113" s="5">
        <v>46.4</v>
      </c>
      <c r="N113" s="5">
        <v>65.25</v>
      </c>
      <c r="O113" s="5">
        <v>39.26</v>
      </c>
      <c r="P113" s="5">
        <v>31.200000000000003</v>
      </c>
      <c r="Q113" s="5">
        <v>39.000005000000002</v>
      </c>
      <c r="R113" s="5">
        <v>148.60002600000001</v>
      </c>
      <c r="S113" s="5">
        <v>66.099997999999999</v>
      </c>
      <c r="T113" s="5">
        <v>85.000016000000002</v>
      </c>
      <c r="U113" s="22">
        <f>15*2.12</f>
        <v>31.8</v>
      </c>
      <c r="V113" s="22">
        <f>7*3.3142863</f>
        <v>23.200004100000001</v>
      </c>
      <c r="W113" s="22">
        <f>5*2.7</f>
        <v>13.5</v>
      </c>
    </row>
    <row r="114" spans="1:23">
      <c r="A114" s="11">
        <v>510</v>
      </c>
      <c r="B114" s="5" t="s">
        <v>107</v>
      </c>
      <c r="C114" s="5">
        <f>17*2.582353</f>
        <v>43.900000999999996</v>
      </c>
      <c r="D114" s="5">
        <v>37.099995</v>
      </c>
      <c r="E114" s="5">
        <v>12.299999999999999</v>
      </c>
      <c r="F114" s="5">
        <v>30.96</v>
      </c>
      <c r="G114" s="5">
        <v>33.28</v>
      </c>
      <c r="H114" s="5">
        <v>48.6</v>
      </c>
      <c r="I114" s="5">
        <v>74.88</v>
      </c>
      <c r="J114" s="5">
        <v>54.08</v>
      </c>
      <c r="K114" s="5">
        <v>58.6</v>
      </c>
      <c r="L114" s="5">
        <v>63.8</v>
      </c>
      <c r="M114" s="5">
        <v>37.18</v>
      </c>
      <c r="N114" s="5">
        <v>11.7</v>
      </c>
      <c r="O114" s="5">
        <v>10.59</v>
      </c>
      <c r="P114" s="5">
        <v>6</v>
      </c>
      <c r="Q114" s="5">
        <v>9.9999990000000007</v>
      </c>
      <c r="R114" s="5">
        <v>17.2</v>
      </c>
      <c r="S114" s="5">
        <v>22.599999</v>
      </c>
      <c r="T114" s="5">
        <v>6.8000000000000007</v>
      </c>
      <c r="U114" s="22">
        <f>2*2.9</f>
        <v>5.8</v>
      </c>
      <c r="V114" s="5">
        <v>0</v>
      </c>
      <c r="W114" s="5">
        <v>0</v>
      </c>
    </row>
    <row r="115" spans="1:23">
      <c r="A115" s="11">
        <v>516</v>
      </c>
      <c r="B115" s="5" t="s">
        <v>108</v>
      </c>
      <c r="C115" s="5">
        <v>12</v>
      </c>
      <c r="D115" s="5">
        <v>8.9</v>
      </c>
      <c r="E115" s="5">
        <v>1</v>
      </c>
      <c r="F115" s="5">
        <v>3.4</v>
      </c>
      <c r="G115" s="5">
        <v>32.700000000000003</v>
      </c>
      <c r="H115" s="5">
        <v>25.74</v>
      </c>
      <c r="I115" s="5">
        <v>63.3</v>
      </c>
      <c r="J115" s="5">
        <v>13.93</v>
      </c>
      <c r="K115" s="5">
        <v>15.48</v>
      </c>
      <c r="L115" s="5">
        <v>22.98</v>
      </c>
      <c r="M115" s="5">
        <v>21</v>
      </c>
      <c r="N115" s="5">
        <v>13.75</v>
      </c>
      <c r="O115" s="5">
        <v>1</v>
      </c>
      <c r="P115" s="5">
        <v>4</v>
      </c>
      <c r="Q115" s="5">
        <v>14.299999999999999</v>
      </c>
      <c r="R115" s="5">
        <v>39.999997</v>
      </c>
      <c r="S115" s="5">
        <v>13.700000000000001</v>
      </c>
      <c r="T115" s="5">
        <v>33.299999999999997</v>
      </c>
      <c r="U115" s="5">
        <v>0</v>
      </c>
      <c r="V115" s="5">
        <v>0</v>
      </c>
      <c r="W115" s="5">
        <v>0</v>
      </c>
    </row>
    <row r="116" spans="1:23">
      <c r="A116" s="11">
        <v>517</v>
      </c>
      <c r="B116" s="5" t="s">
        <v>109</v>
      </c>
      <c r="C116" s="5">
        <f>15*2.18</f>
        <v>32.700000000000003</v>
      </c>
      <c r="D116" s="5">
        <v>4.9000000000000004</v>
      </c>
      <c r="E116" s="5">
        <v>5.6999999999999993</v>
      </c>
      <c r="F116" s="5">
        <v>18.8</v>
      </c>
      <c r="G116" s="5">
        <v>132.16000000000003</v>
      </c>
      <c r="H116" s="5">
        <v>57.12</v>
      </c>
      <c r="I116" s="5">
        <v>88.61999999999999</v>
      </c>
      <c r="J116" s="5">
        <v>59.84</v>
      </c>
      <c r="K116" s="5">
        <v>73.2</v>
      </c>
      <c r="L116" s="5">
        <v>60.839999999999996</v>
      </c>
      <c r="M116" s="5">
        <v>70.059999999999988</v>
      </c>
      <c r="N116" s="5">
        <v>37.74</v>
      </c>
      <c r="O116" s="5">
        <v>53.6</v>
      </c>
      <c r="P116" s="5">
        <v>11.6</v>
      </c>
      <c r="Q116" s="5">
        <v>27.400000000000002</v>
      </c>
      <c r="R116" s="5">
        <v>38.5</v>
      </c>
      <c r="S116" s="5">
        <v>18.299996</v>
      </c>
      <c r="T116" s="5">
        <v>49.2</v>
      </c>
      <c r="U116" s="22">
        <f>7*1.828571</f>
        <v>12.799996999999999</v>
      </c>
      <c r="V116" s="5">
        <v>3.8</v>
      </c>
      <c r="W116" s="5">
        <v>3.4</v>
      </c>
    </row>
    <row r="117" spans="1:23">
      <c r="A117" s="11">
        <v>520</v>
      </c>
      <c r="B117" s="5" t="s">
        <v>110</v>
      </c>
      <c r="C117" s="5">
        <f>15*2.16</f>
        <v>32.400000000000006</v>
      </c>
      <c r="D117" s="5">
        <v>21</v>
      </c>
      <c r="E117" s="5">
        <v>72.900000000000006</v>
      </c>
      <c r="F117" s="5">
        <v>120.78999999999999</v>
      </c>
      <c r="G117" s="5">
        <v>49.28</v>
      </c>
      <c r="H117" s="5">
        <v>18.48</v>
      </c>
      <c r="I117" s="5">
        <v>25.5</v>
      </c>
      <c r="J117" s="5">
        <v>14.22</v>
      </c>
      <c r="K117" s="5">
        <v>15.9</v>
      </c>
      <c r="L117" s="5">
        <v>6.72</v>
      </c>
      <c r="M117" s="5">
        <v>18.089999999999996</v>
      </c>
      <c r="N117" s="5">
        <v>16.080000000000002</v>
      </c>
      <c r="O117" s="5">
        <v>6.99</v>
      </c>
      <c r="P117" s="5">
        <v>8.3999999999999986</v>
      </c>
      <c r="Q117" s="5">
        <v>1.9</v>
      </c>
      <c r="R117" s="5">
        <v>47.200009000000001</v>
      </c>
      <c r="S117" s="5">
        <v>97.399984000000003</v>
      </c>
      <c r="T117" s="5">
        <v>111.69999499999999</v>
      </c>
      <c r="U117" s="22">
        <f>19*2.426316</f>
        <v>46.100003999999998</v>
      </c>
      <c r="V117" s="22">
        <f>27*2.288889</f>
        <v>61.800003000000004</v>
      </c>
      <c r="W117" s="5">
        <v>17.7</v>
      </c>
    </row>
    <row r="118" spans="1:23">
      <c r="A118" s="11">
        <v>522</v>
      </c>
      <c r="B118" s="5" t="s">
        <v>111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</row>
    <row r="119" spans="1:23">
      <c r="A119" s="11">
        <v>530</v>
      </c>
      <c r="B119" s="5" t="s">
        <v>112</v>
      </c>
      <c r="C119" s="5">
        <f>29*2.110345</f>
        <v>61.200005000000004</v>
      </c>
      <c r="D119" s="5">
        <v>69.799993999999998</v>
      </c>
      <c r="E119" s="5">
        <v>37.06</v>
      </c>
      <c r="F119" s="5">
        <v>75.400000000000006</v>
      </c>
      <c r="G119" s="5">
        <v>51.06</v>
      </c>
      <c r="H119" s="5">
        <v>43.38</v>
      </c>
      <c r="I119" s="5">
        <v>54.78</v>
      </c>
      <c r="J119" s="5">
        <v>44.459999999999994</v>
      </c>
      <c r="K119" s="5">
        <v>94.05</v>
      </c>
      <c r="L119" s="5">
        <v>33.480000000000004</v>
      </c>
      <c r="M119" s="5">
        <v>65.400000000000006</v>
      </c>
      <c r="N119" s="5">
        <v>46.08</v>
      </c>
      <c r="O119" s="5">
        <v>30.25</v>
      </c>
      <c r="P119" s="5">
        <v>30.6</v>
      </c>
      <c r="Q119" s="5">
        <v>27</v>
      </c>
      <c r="R119" s="5">
        <v>71.399999999999991</v>
      </c>
      <c r="S119" s="5">
        <v>62.8</v>
      </c>
      <c r="T119" s="5">
        <v>204.800004</v>
      </c>
      <c r="U119" s="22">
        <f>8*2.75</f>
        <v>22</v>
      </c>
      <c r="V119" s="22">
        <f>5*3.5</f>
        <v>17.5</v>
      </c>
      <c r="W119" s="5">
        <v>1.5</v>
      </c>
    </row>
    <row r="120" spans="1:23">
      <c r="A120" s="11">
        <v>531</v>
      </c>
      <c r="B120" s="5" t="s">
        <v>113</v>
      </c>
      <c r="C120" s="5">
        <v>0</v>
      </c>
      <c r="D120" s="5">
        <v>0</v>
      </c>
      <c r="E120" s="5">
        <v>0</v>
      </c>
      <c r="F120" s="5">
        <v>16.310000000000002</v>
      </c>
      <c r="G120" s="5">
        <v>31.639999999999997</v>
      </c>
      <c r="H120" s="5">
        <v>40.32</v>
      </c>
      <c r="I120" s="5">
        <v>46.550000000000004</v>
      </c>
      <c r="J120" s="5">
        <v>36.54</v>
      </c>
      <c r="K120" s="5">
        <v>81</v>
      </c>
      <c r="L120" s="5">
        <v>37.65</v>
      </c>
      <c r="M120" s="5">
        <v>50</v>
      </c>
      <c r="N120" s="5">
        <v>13.2</v>
      </c>
      <c r="O120" s="5">
        <v>7.1999999999999993</v>
      </c>
      <c r="P120" s="5">
        <v>0</v>
      </c>
      <c r="Q120" s="5">
        <v>3</v>
      </c>
      <c r="R120" s="5">
        <v>33.700001</v>
      </c>
      <c r="S120" s="5">
        <v>47.599992</v>
      </c>
      <c r="T120" s="5">
        <v>39.799999999999997</v>
      </c>
      <c r="U120" s="5">
        <v>0</v>
      </c>
      <c r="V120" s="5">
        <v>8.1999999999999993</v>
      </c>
      <c r="W120" s="5">
        <v>0</v>
      </c>
    </row>
    <row r="121" spans="1:23">
      <c r="A121" s="11">
        <v>540</v>
      </c>
      <c r="B121" s="5" t="s">
        <v>114</v>
      </c>
      <c r="C121" s="5">
        <f>44*1.827273</f>
        <v>80.400012000000004</v>
      </c>
      <c r="D121" s="5">
        <v>80</v>
      </c>
      <c r="E121" s="5">
        <v>81.22</v>
      </c>
      <c r="F121" s="5">
        <v>73.08</v>
      </c>
      <c r="G121" s="5">
        <v>107.03999999999999</v>
      </c>
      <c r="H121" s="5">
        <v>92</v>
      </c>
      <c r="I121" s="5">
        <v>65.043999999999997</v>
      </c>
      <c r="J121" s="5">
        <v>90.44</v>
      </c>
      <c r="K121" s="5">
        <v>53.76</v>
      </c>
      <c r="L121" s="5">
        <v>24.200000000000003</v>
      </c>
      <c r="M121" s="5">
        <v>18.8</v>
      </c>
      <c r="N121" s="5">
        <v>40.630000000000003</v>
      </c>
      <c r="O121" s="5">
        <v>32.85</v>
      </c>
      <c r="P121" s="5">
        <v>15.599997</v>
      </c>
      <c r="Q121" s="5">
        <v>3.2</v>
      </c>
      <c r="R121" s="5">
        <v>24.500003</v>
      </c>
      <c r="S121" s="5">
        <v>43.600002000000003</v>
      </c>
      <c r="T121" s="5">
        <v>38.899994</v>
      </c>
      <c r="U121" s="22">
        <f>6*2.416667</f>
        <v>14.500001999999999</v>
      </c>
      <c r="V121" s="22">
        <f>6*2.333333</f>
        <v>13.999998000000001</v>
      </c>
      <c r="W121" s="5">
        <v>3</v>
      </c>
    </row>
    <row r="122" spans="1:23">
      <c r="A122" s="11">
        <v>541</v>
      </c>
      <c r="B122" s="5" t="s">
        <v>115</v>
      </c>
      <c r="C122" s="5">
        <f>26*2.223077</f>
        <v>57.800001999999999</v>
      </c>
      <c r="D122" s="5">
        <v>38.799994999999996</v>
      </c>
      <c r="E122" s="5">
        <v>51.52</v>
      </c>
      <c r="F122" s="5">
        <v>43.4</v>
      </c>
      <c r="G122" s="5">
        <v>56.97</v>
      </c>
      <c r="H122" s="5">
        <v>41.8</v>
      </c>
      <c r="I122" s="5">
        <v>67.759999999999991</v>
      </c>
      <c r="J122" s="5">
        <v>33.44</v>
      </c>
      <c r="K122" s="5">
        <v>29.68</v>
      </c>
      <c r="L122" s="5">
        <v>19.11</v>
      </c>
      <c r="M122" s="5">
        <v>70.25</v>
      </c>
      <c r="N122" s="5">
        <v>30.14</v>
      </c>
      <c r="O122" s="5">
        <v>22.64</v>
      </c>
      <c r="P122" s="5">
        <v>9.6</v>
      </c>
      <c r="Q122" s="5">
        <v>2.9</v>
      </c>
      <c r="R122" s="5">
        <v>21.799998000000002</v>
      </c>
      <c r="S122" s="5">
        <v>7.4000010000000005</v>
      </c>
      <c r="T122" s="5">
        <v>45.4</v>
      </c>
      <c r="U122" s="22">
        <f>14</f>
        <v>14</v>
      </c>
      <c r="V122" s="5">
        <v>3</v>
      </c>
      <c r="W122" s="5">
        <v>6</v>
      </c>
    </row>
    <row r="123" spans="1:23">
      <c r="A123" s="11">
        <v>551</v>
      </c>
      <c r="B123" s="5" t="s">
        <v>116</v>
      </c>
      <c r="C123" s="5">
        <f>27*2.433333</f>
        <v>65.699991000000011</v>
      </c>
      <c r="D123" s="5">
        <v>63.180000000000007</v>
      </c>
      <c r="E123" s="5">
        <v>36.89</v>
      </c>
      <c r="F123" s="5">
        <v>28.47</v>
      </c>
      <c r="G123" s="5">
        <v>53.34</v>
      </c>
      <c r="H123" s="5">
        <v>29.259999999999998</v>
      </c>
      <c r="I123" s="5">
        <v>16.3</v>
      </c>
      <c r="J123" s="5">
        <v>28.92</v>
      </c>
      <c r="K123" s="5">
        <v>23.52</v>
      </c>
      <c r="L123" s="5">
        <v>51.29</v>
      </c>
      <c r="M123" s="5">
        <v>58.86</v>
      </c>
      <c r="N123" s="5">
        <v>28.699999999999996</v>
      </c>
      <c r="O123" s="5">
        <v>23.1</v>
      </c>
      <c r="P123" s="5">
        <v>8.5</v>
      </c>
      <c r="Q123" s="5">
        <v>9.3000000000000007</v>
      </c>
      <c r="R123" s="5">
        <v>39.099996000000004</v>
      </c>
      <c r="S123" s="5">
        <v>34.999994999999998</v>
      </c>
      <c r="T123" s="5">
        <v>39.199995000000001</v>
      </c>
      <c r="U123" s="22">
        <v>5</v>
      </c>
      <c r="V123" s="5">
        <v>1.6</v>
      </c>
      <c r="W123" s="5">
        <v>0</v>
      </c>
    </row>
    <row r="124" spans="1:23">
      <c r="A124" s="11">
        <v>552</v>
      </c>
      <c r="B124" s="5" t="s">
        <v>117</v>
      </c>
      <c r="C124" s="5">
        <f>19*2.1</f>
        <v>39.9</v>
      </c>
      <c r="D124" s="5">
        <v>95.04</v>
      </c>
      <c r="E124" s="5">
        <v>54</v>
      </c>
      <c r="F124" s="5">
        <v>86.210000000000008</v>
      </c>
      <c r="G124" s="5">
        <v>139.92000000000002</v>
      </c>
      <c r="H124" s="5">
        <v>71.36</v>
      </c>
      <c r="I124" s="5">
        <v>87.48</v>
      </c>
      <c r="J124" s="5">
        <v>69.44</v>
      </c>
      <c r="K124" s="5">
        <v>75.25</v>
      </c>
      <c r="L124" s="5">
        <v>37.26</v>
      </c>
      <c r="M124" s="5">
        <v>64.349999999999994</v>
      </c>
      <c r="N124" s="5">
        <v>90.44</v>
      </c>
      <c r="O124" s="5">
        <v>57.71</v>
      </c>
      <c r="P124" s="5">
        <v>70.8</v>
      </c>
      <c r="Q124" s="5">
        <v>71.7</v>
      </c>
      <c r="R124" s="5">
        <v>125.800026</v>
      </c>
      <c r="S124" s="5">
        <v>56.399991999999997</v>
      </c>
      <c r="T124" s="5">
        <v>81.099999999999994</v>
      </c>
      <c r="U124" s="22">
        <v>44.4</v>
      </c>
      <c r="V124" s="22">
        <f>6*1.85</f>
        <v>11.100000000000001</v>
      </c>
      <c r="W124" s="5">
        <v>0</v>
      </c>
    </row>
    <row r="125" spans="1:23">
      <c r="A125" s="11">
        <v>553</v>
      </c>
      <c r="B125" s="5" t="s">
        <v>118</v>
      </c>
      <c r="C125" s="5">
        <v>6.6</v>
      </c>
      <c r="D125" s="5">
        <v>11.8</v>
      </c>
      <c r="E125" s="5">
        <v>10</v>
      </c>
      <c r="F125" s="5">
        <v>7.11</v>
      </c>
      <c r="G125" s="5">
        <v>14.489999999999998</v>
      </c>
      <c r="H125" s="5">
        <v>36.26</v>
      </c>
      <c r="I125" s="5">
        <v>3</v>
      </c>
      <c r="J125" s="5">
        <v>8.52</v>
      </c>
      <c r="K125" s="5">
        <v>2.8</v>
      </c>
      <c r="L125" s="5">
        <v>4.7</v>
      </c>
      <c r="M125" s="5">
        <v>4</v>
      </c>
      <c r="N125" s="5">
        <v>4.7</v>
      </c>
      <c r="O125" s="5">
        <v>9.6</v>
      </c>
      <c r="P125" s="5">
        <v>8.3000000000000007</v>
      </c>
      <c r="Q125" s="5">
        <v>8.3000000000000007</v>
      </c>
      <c r="R125" s="5">
        <v>24.3</v>
      </c>
      <c r="S125" s="5">
        <v>16.5</v>
      </c>
      <c r="T125" s="5">
        <v>15.1</v>
      </c>
      <c r="U125" s="22">
        <f>3*2.4</f>
        <v>7.1999999999999993</v>
      </c>
      <c r="V125" s="22">
        <f>2*2.85</f>
        <v>5.7</v>
      </c>
      <c r="W125" s="5">
        <v>0</v>
      </c>
    </row>
    <row r="126" spans="1:23">
      <c r="A126" s="11">
        <v>560</v>
      </c>
      <c r="B126" s="5" t="s">
        <v>119</v>
      </c>
      <c r="C126" s="5">
        <f>208*2.062019</f>
        <v>428.89995199999998</v>
      </c>
      <c r="D126" s="5">
        <v>340.64800000000002</v>
      </c>
      <c r="E126" s="5">
        <v>405.81</v>
      </c>
      <c r="F126" s="5">
        <v>371.2</v>
      </c>
      <c r="G126" s="5">
        <v>675.45</v>
      </c>
      <c r="H126" s="5">
        <v>725.22</v>
      </c>
      <c r="I126" s="5">
        <v>603.95000000000005</v>
      </c>
      <c r="J126" s="5">
        <v>740.25</v>
      </c>
      <c r="K126" s="5">
        <v>466</v>
      </c>
      <c r="L126" s="5">
        <v>362.88000000000005</v>
      </c>
      <c r="M126" s="5">
        <v>324.69</v>
      </c>
      <c r="N126" s="5">
        <v>318.91999999999996</v>
      </c>
      <c r="O126" s="5">
        <v>189.20000000000002</v>
      </c>
      <c r="P126" s="5">
        <v>172.99997399999998</v>
      </c>
      <c r="Q126" s="5">
        <v>227.200005</v>
      </c>
      <c r="R126" s="5">
        <v>427.20002800000003</v>
      </c>
      <c r="S126" s="5">
        <v>423.20007599999997</v>
      </c>
      <c r="T126" s="5">
        <v>259.90004099999999</v>
      </c>
      <c r="U126" s="22">
        <f>50*2.058</f>
        <v>102.89999999999999</v>
      </c>
      <c r="V126" s="22">
        <f>12*2.5</f>
        <v>30</v>
      </c>
      <c r="W126" s="5">
        <f>17*1.823529</f>
        <v>30.999993</v>
      </c>
    </row>
    <row r="127" spans="1:23">
      <c r="A127" s="11">
        <v>565</v>
      </c>
      <c r="B127" s="5" t="s">
        <v>120</v>
      </c>
      <c r="C127" s="5">
        <f>13*3.4</f>
        <v>44.199999999999996</v>
      </c>
      <c r="D127" s="5">
        <v>47.591999999999999</v>
      </c>
      <c r="E127" s="5">
        <v>41.2</v>
      </c>
      <c r="F127" s="5">
        <v>25.47</v>
      </c>
      <c r="G127" s="5">
        <v>45.05</v>
      </c>
      <c r="H127" s="5">
        <v>25.349999999999998</v>
      </c>
      <c r="I127" s="5">
        <v>12.78</v>
      </c>
      <c r="J127" s="5">
        <v>48.16</v>
      </c>
      <c r="K127" s="5">
        <v>18.5</v>
      </c>
      <c r="L127" s="5">
        <v>37.35</v>
      </c>
      <c r="M127" s="5">
        <v>22.589999999999996</v>
      </c>
      <c r="N127" s="5">
        <v>19.600000000000001</v>
      </c>
      <c r="O127" s="5">
        <v>3</v>
      </c>
      <c r="P127" s="5">
        <v>15.6</v>
      </c>
      <c r="Q127" s="5">
        <v>13.200000000000001</v>
      </c>
      <c r="R127" s="5">
        <v>13.000000999999999</v>
      </c>
      <c r="S127" s="5">
        <v>13.6</v>
      </c>
      <c r="T127" s="5">
        <v>54</v>
      </c>
      <c r="U127" s="5">
        <v>2.8</v>
      </c>
      <c r="V127" s="5">
        <v>0</v>
      </c>
      <c r="W127" s="5">
        <v>3</v>
      </c>
    </row>
    <row r="128" spans="1:23">
      <c r="A128" s="11">
        <v>570</v>
      </c>
      <c r="B128" s="5" t="s">
        <v>121</v>
      </c>
      <c r="C128" s="5">
        <v>0</v>
      </c>
      <c r="D128" s="5">
        <v>3</v>
      </c>
      <c r="E128" s="5">
        <v>11.12</v>
      </c>
      <c r="F128" s="5">
        <v>0</v>
      </c>
      <c r="G128" s="5">
        <v>31.919999999999998</v>
      </c>
      <c r="H128" s="5">
        <v>28.139999999999997</v>
      </c>
      <c r="I128" s="5">
        <v>1</v>
      </c>
      <c r="J128" s="5">
        <v>14</v>
      </c>
      <c r="K128" s="5">
        <v>3.8</v>
      </c>
      <c r="L128" s="5">
        <v>0</v>
      </c>
      <c r="M128" s="5">
        <v>2.8</v>
      </c>
      <c r="N128" s="5">
        <v>0</v>
      </c>
      <c r="O128" s="5">
        <v>0</v>
      </c>
      <c r="P128" s="5">
        <v>0</v>
      </c>
      <c r="Q128" s="5">
        <v>0</v>
      </c>
      <c r="R128" s="5">
        <v>2.8</v>
      </c>
      <c r="S128" s="5">
        <v>10.4</v>
      </c>
      <c r="T128" s="5">
        <v>5.8</v>
      </c>
      <c r="U128" s="5">
        <v>0</v>
      </c>
      <c r="V128" s="5">
        <v>0</v>
      </c>
      <c r="W128" s="5">
        <v>0</v>
      </c>
    </row>
    <row r="129" spans="1:23">
      <c r="A129" s="11">
        <v>571</v>
      </c>
      <c r="B129" s="5" t="s">
        <v>122</v>
      </c>
      <c r="C129" s="5">
        <v>2.8</v>
      </c>
      <c r="D129" s="5">
        <v>11</v>
      </c>
      <c r="E129" s="5">
        <v>10.6</v>
      </c>
      <c r="F129" s="5">
        <v>15.600000000000001</v>
      </c>
      <c r="G129" s="5">
        <v>19.080000000000002</v>
      </c>
      <c r="H129" s="5">
        <v>32.620000000000005</v>
      </c>
      <c r="I129" s="5">
        <v>14.2</v>
      </c>
      <c r="J129" s="5">
        <v>29.82</v>
      </c>
      <c r="K129" s="5">
        <v>17.290000000000003</v>
      </c>
      <c r="L129" s="5">
        <v>24.57</v>
      </c>
      <c r="M129" s="5">
        <v>4</v>
      </c>
      <c r="N129" s="5">
        <v>4.8000000000000007</v>
      </c>
      <c r="O129" s="5">
        <v>1</v>
      </c>
      <c r="P129" s="5">
        <v>12.4</v>
      </c>
      <c r="Q129" s="5">
        <v>7.6</v>
      </c>
      <c r="R129" s="5">
        <v>24.4</v>
      </c>
      <c r="S129" s="5">
        <v>9.8000000000000007</v>
      </c>
      <c r="T129" s="5">
        <v>5.6999999999999993</v>
      </c>
      <c r="U129" s="5">
        <v>2.2000000000000002</v>
      </c>
      <c r="V129" s="22">
        <f>3*2.1</f>
        <v>6.3000000000000007</v>
      </c>
      <c r="W129" s="5">
        <v>0</v>
      </c>
    </row>
    <row r="130" spans="1:23">
      <c r="A130" s="11">
        <v>572</v>
      </c>
      <c r="B130" s="5" t="s">
        <v>123</v>
      </c>
      <c r="C130" s="5">
        <f>3*2.733333</f>
        <v>8.199999</v>
      </c>
      <c r="D130" s="5">
        <v>10</v>
      </c>
      <c r="E130" s="5">
        <v>0</v>
      </c>
      <c r="F130" s="5">
        <v>5.6999999999999993</v>
      </c>
      <c r="G130" s="5">
        <v>8.7200000000000006</v>
      </c>
      <c r="H130" s="5">
        <v>22.47</v>
      </c>
      <c r="I130" s="5">
        <v>11.6</v>
      </c>
      <c r="J130" s="5">
        <v>0</v>
      </c>
      <c r="K130" s="5">
        <v>12.6</v>
      </c>
      <c r="L130" s="5">
        <v>0.1</v>
      </c>
      <c r="M130" s="5">
        <v>0</v>
      </c>
      <c r="N130" s="5">
        <v>9.6</v>
      </c>
      <c r="O130" s="5">
        <v>0</v>
      </c>
      <c r="P130" s="5">
        <v>7.4</v>
      </c>
      <c r="Q130" s="5">
        <v>0</v>
      </c>
      <c r="R130" s="5">
        <v>5.6999999999999993</v>
      </c>
      <c r="S130" s="5">
        <v>0</v>
      </c>
      <c r="T130" s="5">
        <v>1</v>
      </c>
      <c r="U130" s="5">
        <v>0</v>
      </c>
      <c r="V130" s="5">
        <v>1.5</v>
      </c>
      <c r="W130" s="5">
        <v>0</v>
      </c>
    </row>
    <row r="131" spans="1:23">
      <c r="A131" s="11">
        <v>580</v>
      </c>
      <c r="B131" s="5" t="s">
        <v>124</v>
      </c>
      <c r="C131" s="5">
        <f>7*2.9</f>
        <v>20.3</v>
      </c>
      <c r="D131" s="5">
        <v>1.9</v>
      </c>
      <c r="E131" s="5">
        <v>7.6</v>
      </c>
      <c r="F131" s="5">
        <v>8.19</v>
      </c>
      <c r="G131" s="5">
        <v>14.5</v>
      </c>
      <c r="H131" s="5">
        <v>5.6</v>
      </c>
      <c r="I131" s="5">
        <v>7.8</v>
      </c>
      <c r="J131" s="5">
        <v>15.52</v>
      </c>
      <c r="K131" s="5">
        <v>0</v>
      </c>
      <c r="L131" s="5">
        <v>3.8</v>
      </c>
      <c r="M131" s="5">
        <v>12.3</v>
      </c>
      <c r="N131" s="5">
        <v>0</v>
      </c>
      <c r="O131" s="5">
        <v>20.7</v>
      </c>
      <c r="P131" s="5">
        <v>1</v>
      </c>
      <c r="Q131" s="5">
        <v>0</v>
      </c>
      <c r="R131" s="5">
        <v>5.6</v>
      </c>
      <c r="S131" s="5">
        <v>0</v>
      </c>
      <c r="T131" s="5">
        <v>9.1999999999999993</v>
      </c>
      <c r="U131" s="5">
        <v>0</v>
      </c>
      <c r="V131" s="5">
        <v>1.5</v>
      </c>
      <c r="W131" s="5">
        <v>0</v>
      </c>
    </row>
    <row r="132" spans="1:23">
      <c r="A132" s="11">
        <v>581</v>
      </c>
      <c r="B132" s="5" t="s">
        <v>125</v>
      </c>
      <c r="C132" s="5">
        <v>4.4000000000000004</v>
      </c>
      <c r="D132" s="5">
        <v>1.9</v>
      </c>
      <c r="E132" s="5">
        <v>1.9</v>
      </c>
      <c r="F132" s="5">
        <v>1</v>
      </c>
      <c r="G132" s="5">
        <v>0</v>
      </c>
      <c r="H132" s="5">
        <v>0</v>
      </c>
      <c r="I132" s="5">
        <v>12</v>
      </c>
      <c r="J132" s="5">
        <v>2.8</v>
      </c>
      <c r="K132" s="5">
        <v>3.4</v>
      </c>
      <c r="L132" s="5">
        <v>1</v>
      </c>
      <c r="M132" s="5">
        <v>0</v>
      </c>
      <c r="N132" s="5">
        <v>0</v>
      </c>
      <c r="O132" s="5">
        <v>3.4</v>
      </c>
      <c r="P132" s="5">
        <v>0</v>
      </c>
      <c r="Q132" s="5">
        <v>18.600000000000001</v>
      </c>
      <c r="R132" s="5">
        <v>1.9</v>
      </c>
      <c r="S132" s="5">
        <v>0</v>
      </c>
      <c r="T132" s="5">
        <v>3</v>
      </c>
      <c r="U132" s="5">
        <v>0</v>
      </c>
      <c r="V132" s="5">
        <v>0</v>
      </c>
      <c r="W132" s="5">
        <v>0</v>
      </c>
    </row>
    <row r="133" spans="1:23">
      <c r="A133" s="11">
        <v>590</v>
      </c>
      <c r="B133" s="5" t="s">
        <v>126</v>
      </c>
      <c r="C133" s="5">
        <f>6*3.366667</f>
        <v>20.200002000000001</v>
      </c>
      <c r="D133" s="5">
        <v>2.7</v>
      </c>
      <c r="E133" s="5">
        <v>5.6999999999999993</v>
      </c>
      <c r="F133" s="5">
        <v>14.6</v>
      </c>
      <c r="G133" s="5">
        <v>14.42</v>
      </c>
      <c r="H133" s="5">
        <v>6.7</v>
      </c>
      <c r="I133" s="5">
        <v>22.4</v>
      </c>
      <c r="J133" s="5">
        <v>21</v>
      </c>
      <c r="K133" s="5">
        <v>10.4</v>
      </c>
      <c r="L133" s="5">
        <v>4.59</v>
      </c>
      <c r="M133" s="5">
        <v>14.700000000000001</v>
      </c>
      <c r="N133" s="5">
        <v>2</v>
      </c>
      <c r="O133" s="5">
        <v>4.9000000000000004</v>
      </c>
      <c r="P133" s="5">
        <v>0</v>
      </c>
      <c r="Q133" s="5">
        <v>0</v>
      </c>
      <c r="R133" s="5">
        <v>22.900002999999998</v>
      </c>
      <c r="S133" s="5">
        <v>20.399999999999999</v>
      </c>
      <c r="T133" s="5">
        <v>1</v>
      </c>
      <c r="U133" s="5">
        <v>3.4</v>
      </c>
      <c r="V133" s="5">
        <v>0</v>
      </c>
      <c r="W133" s="5">
        <v>0</v>
      </c>
    </row>
    <row r="134" spans="1:23">
      <c r="A134" s="11">
        <v>591</v>
      </c>
      <c r="B134" s="5" t="s">
        <v>127</v>
      </c>
      <c r="C134" s="5">
        <f>5*2.74</f>
        <v>13.700000000000001</v>
      </c>
      <c r="D134" s="5">
        <v>0</v>
      </c>
      <c r="E134" s="5">
        <v>4</v>
      </c>
      <c r="F134" s="5">
        <v>0</v>
      </c>
      <c r="G134" s="5">
        <v>0</v>
      </c>
      <c r="H134" s="5">
        <v>0</v>
      </c>
      <c r="I134" s="5">
        <v>3</v>
      </c>
      <c r="J134" s="5">
        <v>8.61</v>
      </c>
      <c r="K134" s="5">
        <v>2.8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0.8</v>
      </c>
      <c r="R134" s="5">
        <v>0</v>
      </c>
      <c r="S134" s="5">
        <v>0</v>
      </c>
      <c r="T134" s="5">
        <v>3.8</v>
      </c>
      <c r="U134" s="5">
        <v>0</v>
      </c>
      <c r="V134" s="5">
        <v>0</v>
      </c>
      <c r="W134" s="5">
        <v>0</v>
      </c>
    </row>
    <row r="135" spans="1:23">
      <c r="A135" s="11">
        <v>600</v>
      </c>
      <c r="B135" s="5" t="s">
        <v>128</v>
      </c>
      <c r="C135" s="5">
        <f>63*2.34127</f>
        <v>147.50001</v>
      </c>
      <c r="D135" s="5">
        <v>121.30001</v>
      </c>
      <c r="E135" s="5">
        <v>126.99000000000001</v>
      </c>
      <c r="F135" s="5">
        <v>140</v>
      </c>
      <c r="G135" s="5">
        <v>143.84</v>
      </c>
      <c r="H135" s="5">
        <v>179.78</v>
      </c>
      <c r="I135" s="5">
        <v>199.75</v>
      </c>
      <c r="J135" s="5">
        <v>207.48</v>
      </c>
      <c r="K135" s="5">
        <v>135.14000000000001</v>
      </c>
      <c r="L135" s="5">
        <v>196.8</v>
      </c>
      <c r="M135" s="5">
        <v>143.47999999999999</v>
      </c>
      <c r="N135" s="5">
        <v>144.63999999999999</v>
      </c>
      <c r="O135" s="5">
        <v>120.53999999999999</v>
      </c>
      <c r="P135" s="5">
        <v>32.599997999999999</v>
      </c>
      <c r="Q135" s="5">
        <v>53.499991000000001</v>
      </c>
      <c r="R135" s="5">
        <v>91.900008</v>
      </c>
      <c r="S135" s="5">
        <v>89.100010999999995</v>
      </c>
      <c r="T135" s="5">
        <v>59.899992000000005</v>
      </c>
      <c r="U135" s="22">
        <f>7*2.685714</f>
        <v>18.799997999999999</v>
      </c>
      <c r="V135" s="22">
        <f>5*2.8</f>
        <v>14</v>
      </c>
      <c r="W135" s="5">
        <v>3</v>
      </c>
    </row>
    <row r="136" spans="1:23">
      <c r="A136" s="11">
        <v>615</v>
      </c>
      <c r="B136" s="5" t="s">
        <v>129</v>
      </c>
      <c r="C136" s="5">
        <f>98*2.302041</f>
        <v>225.60001800000001</v>
      </c>
      <c r="D136" s="5">
        <v>125.60002600000001</v>
      </c>
      <c r="E136" s="5">
        <v>170.73</v>
      </c>
      <c r="F136" s="5">
        <v>106.33</v>
      </c>
      <c r="G136" s="5">
        <v>148.74</v>
      </c>
      <c r="H136" s="5">
        <v>142.20000000000002</v>
      </c>
      <c r="I136" s="5">
        <v>168.48999999999998</v>
      </c>
      <c r="J136" s="5">
        <v>106.04</v>
      </c>
      <c r="K136" s="5">
        <v>144.60000000000002</v>
      </c>
      <c r="L136" s="5">
        <v>168.26999999999998</v>
      </c>
      <c r="M136" s="5">
        <v>164.42999999999998</v>
      </c>
      <c r="N136" s="5">
        <v>132</v>
      </c>
      <c r="O136" s="5">
        <v>92.72</v>
      </c>
      <c r="P136" s="5">
        <v>59.299991999999996</v>
      </c>
      <c r="Q136" s="5">
        <v>25.6</v>
      </c>
      <c r="R136" s="5">
        <v>56.599997999999999</v>
      </c>
      <c r="S136" s="5">
        <v>163.6</v>
      </c>
      <c r="T136" s="5">
        <v>74.100015000000013</v>
      </c>
      <c r="U136" s="22">
        <f>7*3.057143</f>
        <v>21.400001</v>
      </c>
      <c r="V136" s="22">
        <f>6*2.383333</f>
        <v>14.299997999999999</v>
      </c>
      <c r="W136" s="22">
        <v>8.1999999999999993</v>
      </c>
    </row>
    <row r="137" spans="1:23">
      <c r="A137" s="11">
        <v>616</v>
      </c>
      <c r="B137" s="5" t="s">
        <v>130</v>
      </c>
      <c r="C137" s="5">
        <f>48*2.3375</f>
        <v>112.19999999999999</v>
      </c>
      <c r="D137" s="5">
        <v>97.7</v>
      </c>
      <c r="E137" s="5">
        <v>81</v>
      </c>
      <c r="F137" s="5">
        <v>93.160000000000011</v>
      </c>
      <c r="G137" s="5">
        <v>105.19999999999999</v>
      </c>
      <c r="H137" s="5">
        <v>88.800000000000011</v>
      </c>
      <c r="I137" s="5">
        <v>91.8</v>
      </c>
      <c r="J137" s="5">
        <v>119.35</v>
      </c>
      <c r="K137" s="5">
        <v>44</v>
      </c>
      <c r="L137" s="5">
        <v>54.72</v>
      </c>
      <c r="M137" s="5">
        <v>53.760000000000005</v>
      </c>
      <c r="N137" s="5">
        <v>66.3</v>
      </c>
      <c r="O137" s="5">
        <v>81.2</v>
      </c>
      <c r="P137" s="5">
        <v>18.7</v>
      </c>
      <c r="Q137" s="5">
        <v>7.5</v>
      </c>
      <c r="R137" s="5">
        <v>13.799999999999999</v>
      </c>
      <c r="S137" s="5">
        <v>21.799998000000002</v>
      </c>
      <c r="T137" s="5">
        <v>35.400000000000006</v>
      </c>
      <c r="U137" s="22">
        <f>7*1.628571</f>
        <v>11.399996999999999</v>
      </c>
      <c r="V137" s="5">
        <v>6</v>
      </c>
      <c r="W137" s="5">
        <v>0</v>
      </c>
    </row>
    <row r="138" spans="1:23">
      <c r="A138" s="11">
        <v>620</v>
      </c>
      <c r="B138" s="5" t="s">
        <v>131</v>
      </c>
      <c r="C138" s="5">
        <f>88*2.596591</f>
        <v>228.50000800000001</v>
      </c>
      <c r="D138" s="5">
        <v>287.79269999999997</v>
      </c>
      <c r="E138" s="5">
        <v>205.82</v>
      </c>
      <c r="F138" s="5">
        <v>120.42</v>
      </c>
      <c r="G138" s="5">
        <v>114.57</v>
      </c>
      <c r="H138" s="5">
        <v>113.62</v>
      </c>
      <c r="I138" s="5">
        <v>154.08000000000001</v>
      </c>
      <c r="J138" s="5">
        <v>155.25</v>
      </c>
      <c r="K138" s="5">
        <v>155.76000000000002</v>
      </c>
      <c r="L138" s="5">
        <v>216</v>
      </c>
      <c r="M138" s="5">
        <v>132.6</v>
      </c>
      <c r="N138" s="5">
        <v>83.2</v>
      </c>
      <c r="O138" s="5">
        <v>95.199999999999989</v>
      </c>
      <c r="P138" s="5">
        <v>68.900007000000002</v>
      </c>
      <c r="Q138" s="5">
        <v>189.1</v>
      </c>
      <c r="R138" s="5">
        <v>135.80003000000002</v>
      </c>
      <c r="S138" s="5">
        <v>151.50002700000002</v>
      </c>
      <c r="T138" s="5">
        <v>298.000024</v>
      </c>
      <c r="U138" s="22">
        <v>59.2</v>
      </c>
      <c r="V138" s="22">
        <v>42.7</v>
      </c>
      <c r="W138" s="22">
        <v>26.9</v>
      </c>
    </row>
    <row r="139" spans="1:23">
      <c r="A139" s="11">
        <v>625</v>
      </c>
      <c r="B139" s="5" t="s">
        <v>132</v>
      </c>
      <c r="C139" s="5">
        <f>52*2.005769</f>
        <v>104.299988</v>
      </c>
      <c r="D139" s="5">
        <v>78.111999999999995</v>
      </c>
      <c r="E139" s="5">
        <v>106.21000000000001</v>
      </c>
      <c r="F139" s="5">
        <v>94.080000000000013</v>
      </c>
      <c r="G139" s="5">
        <v>70.92</v>
      </c>
      <c r="H139" s="5">
        <v>103.04</v>
      </c>
      <c r="I139" s="5">
        <v>91.84</v>
      </c>
      <c r="J139" s="5">
        <v>83.19</v>
      </c>
      <c r="K139" s="5">
        <v>66.56</v>
      </c>
      <c r="L139" s="5">
        <v>77.22</v>
      </c>
      <c r="M139" s="5">
        <v>104.85000000000001</v>
      </c>
      <c r="N139" s="5">
        <v>69.12</v>
      </c>
      <c r="O139" s="5">
        <v>74.7</v>
      </c>
      <c r="P139" s="5">
        <v>45.399996000000002</v>
      </c>
      <c r="Q139" s="5">
        <v>51.6</v>
      </c>
      <c r="R139" s="5">
        <v>221.49994799999999</v>
      </c>
      <c r="S139" s="5">
        <v>297</v>
      </c>
      <c r="T139" s="5">
        <v>309.100008</v>
      </c>
      <c r="U139" s="22">
        <f>16*3.0875</f>
        <v>49.4</v>
      </c>
      <c r="V139" s="22">
        <f>13*2.053846</f>
        <v>26.699998000000001</v>
      </c>
      <c r="W139" s="22">
        <f>8*3.05</f>
        <v>24.4</v>
      </c>
    </row>
    <row r="140" spans="1:23">
      <c r="A140" s="11">
        <v>630</v>
      </c>
      <c r="B140" s="5" t="s">
        <v>133</v>
      </c>
      <c r="C140" s="5">
        <f>254*2.391732</f>
        <v>607.49992800000007</v>
      </c>
      <c r="D140" s="5">
        <v>754</v>
      </c>
      <c r="E140" s="5">
        <v>660.48</v>
      </c>
      <c r="F140" s="5">
        <v>465.75</v>
      </c>
      <c r="G140" s="5">
        <v>424.55999999999995</v>
      </c>
      <c r="H140" s="5">
        <v>451.36</v>
      </c>
      <c r="I140" s="5">
        <v>534.36</v>
      </c>
      <c r="J140" s="5">
        <v>419.95</v>
      </c>
      <c r="K140" s="5">
        <v>404.00999999999993</v>
      </c>
      <c r="L140" s="5">
        <v>414.40000000000003</v>
      </c>
      <c r="M140" s="5">
        <v>342.40000000000003</v>
      </c>
      <c r="N140" s="5">
        <v>317.8</v>
      </c>
      <c r="O140" s="5">
        <v>236.16</v>
      </c>
      <c r="P140" s="5">
        <v>227.900036</v>
      </c>
      <c r="Q140" s="5">
        <v>262.09997099999998</v>
      </c>
      <c r="R140" s="5">
        <v>732.19986000000006</v>
      </c>
      <c r="S140" s="5">
        <v>1288.0000799999998</v>
      </c>
      <c r="T140" s="5">
        <v>1130.2002399999999</v>
      </c>
      <c r="U140" s="22">
        <f>88*1.960227</f>
        <v>172.499976</v>
      </c>
      <c r="V140" s="22">
        <f>60*2.671667</f>
        <v>160.30001999999999</v>
      </c>
      <c r="W140" s="22">
        <f>68*2.270588</f>
        <v>154.39998400000002</v>
      </c>
    </row>
    <row r="141" spans="1:23">
      <c r="A141" s="11">
        <v>640</v>
      </c>
      <c r="B141" s="5" t="s">
        <v>134</v>
      </c>
      <c r="C141" s="5">
        <f>165*2.309697</f>
        <v>381.10000500000001</v>
      </c>
      <c r="D141" s="5">
        <v>524.71599999999989</v>
      </c>
      <c r="E141" s="5">
        <v>668.16</v>
      </c>
      <c r="F141" s="5">
        <v>535.5</v>
      </c>
      <c r="G141" s="5">
        <v>452.2</v>
      </c>
      <c r="H141" s="5">
        <v>464.40000000000003</v>
      </c>
      <c r="I141" s="5">
        <v>488.32000000000005</v>
      </c>
      <c r="J141" s="5">
        <v>413.49</v>
      </c>
      <c r="K141" s="5">
        <v>405.81</v>
      </c>
      <c r="L141" s="5">
        <v>343.33000000000004</v>
      </c>
      <c r="M141" s="5">
        <v>247.86</v>
      </c>
      <c r="N141" s="5">
        <v>299.25</v>
      </c>
      <c r="O141" s="5">
        <v>217.11999999999998</v>
      </c>
      <c r="P141" s="5">
        <v>345.19995999999998</v>
      </c>
      <c r="Q141" s="5">
        <v>169.699985</v>
      </c>
      <c r="R141" s="5">
        <v>557.39992499999994</v>
      </c>
      <c r="S141" s="5">
        <v>413.60004600000002</v>
      </c>
      <c r="T141" s="5">
        <v>471.90002999999996</v>
      </c>
      <c r="U141" s="22">
        <f>66*2.131818</f>
        <v>140.69998799999999</v>
      </c>
      <c r="V141" s="22">
        <f>40*2.57</f>
        <v>102.8</v>
      </c>
      <c r="W141" s="22">
        <f>32*2.40625</f>
        <v>77</v>
      </c>
    </row>
    <row r="142" spans="1:23">
      <c r="A142" s="11">
        <v>645</v>
      </c>
      <c r="B142" s="5" t="s">
        <v>135</v>
      </c>
      <c r="C142" s="5">
        <f>636*2.287736</f>
        <v>1455.0000960000002</v>
      </c>
      <c r="D142" s="5">
        <v>708.51</v>
      </c>
      <c r="E142" s="5">
        <v>223.41</v>
      </c>
      <c r="F142" s="5">
        <v>245.03</v>
      </c>
      <c r="G142" s="5">
        <v>306.45</v>
      </c>
      <c r="H142" s="5">
        <v>309.29000000000002</v>
      </c>
      <c r="I142" s="5">
        <v>386.06</v>
      </c>
      <c r="J142" s="5">
        <v>417.59999999999997</v>
      </c>
      <c r="K142" s="5">
        <v>538.89</v>
      </c>
      <c r="L142" s="5">
        <v>348.6</v>
      </c>
      <c r="M142" s="5">
        <v>344.46999999999997</v>
      </c>
      <c r="N142" s="5">
        <v>343.1</v>
      </c>
      <c r="O142" s="5">
        <v>467.06</v>
      </c>
      <c r="P142" s="5">
        <v>836.900126</v>
      </c>
      <c r="Q142" s="5">
        <v>450.40007999999995</v>
      </c>
      <c r="R142" s="5">
        <v>961.29998399999999</v>
      </c>
      <c r="S142" s="5">
        <v>1030.499982</v>
      </c>
      <c r="T142" s="5">
        <v>1024.800164</v>
      </c>
      <c r="U142" s="22">
        <f>115*2.43913</f>
        <v>280.49995000000001</v>
      </c>
      <c r="V142" s="22">
        <f>65*2.149231</f>
        <v>139.70001499999998</v>
      </c>
      <c r="W142" s="22">
        <f>19*2.368421</f>
        <v>44.999999000000003</v>
      </c>
    </row>
    <row r="143" spans="1:23">
      <c r="A143" s="11">
        <v>651</v>
      </c>
      <c r="B143" s="5" t="s">
        <v>136</v>
      </c>
      <c r="C143" s="5">
        <f>251*2.227888</f>
        <v>559.19988799999999</v>
      </c>
      <c r="D143" s="5">
        <v>541.29199999999992</v>
      </c>
      <c r="E143" s="5">
        <v>429.24</v>
      </c>
      <c r="F143" s="5">
        <v>438.78</v>
      </c>
      <c r="G143" s="5">
        <v>565.43999999999994</v>
      </c>
      <c r="H143" s="5">
        <v>739.2</v>
      </c>
      <c r="I143" s="5">
        <v>718.1</v>
      </c>
      <c r="J143" s="5">
        <v>423.35999999999996</v>
      </c>
      <c r="K143" s="5">
        <v>328.53000000000003</v>
      </c>
      <c r="L143" s="5">
        <v>340.79999999999995</v>
      </c>
      <c r="M143" s="5">
        <v>353.96999999999997</v>
      </c>
      <c r="N143" s="5">
        <v>386</v>
      </c>
      <c r="O143" s="5">
        <v>207.68</v>
      </c>
      <c r="P143" s="5">
        <v>150.60002999999998</v>
      </c>
      <c r="Q143" s="5">
        <v>140.70000000000002</v>
      </c>
      <c r="R143" s="5">
        <v>394.10009000000002</v>
      </c>
      <c r="S143" s="5">
        <v>472.90004399999998</v>
      </c>
      <c r="T143" s="5">
        <v>392.10003599999999</v>
      </c>
      <c r="U143" s="22">
        <v>81.3</v>
      </c>
      <c r="V143" s="22">
        <f>45*2.191111</f>
        <v>98.599994999999993</v>
      </c>
      <c r="W143" s="22">
        <f>44*2.377273</f>
        <v>104.60001200000001</v>
      </c>
    </row>
    <row r="144" spans="1:23">
      <c r="A144" s="11">
        <v>652</v>
      </c>
      <c r="B144" s="5" t="s">
        <v>137</v>
      </c>
      <c r="C144" s="5">
        <f>188*2.215426</f>
        <v>416.50008800000001</v>
      </c>
      <c r="D144" s="5">
        <v>431.87199999999996</v>
      </c>
      <c r="E144" s="5">
        <v>338.52</v>
      </c>
      <c r="F144" s="5">
        <v>340.29</v>
      </c>
      <c r="G144" s="5">
        <v>459.20000000000005</v>
      </c>
      <c r="H144" s="5">
        <v>360.64</v>
      </c>
      <c r="I144" s="5">
        <v>380.1</v>
      </c>
      <c r="J144" s="5">
        <v>224.87</v>
      </c>
      <c r="K144" s="5">
        <v>248.88</v>
      </c>
      <c r="L144" s="5">
        <v>261.86999999999995</v>
      </c>
      <c r="M144" s="5">
        <v>298.65000000000003</v>
      </c>
      <c r="N144" s="5">
        <v>231.79999999999998</v>
      </c>
      <c r="O144" s="5">
        <v>85.14</v>
      </c>
      <c r="P144" s="5">
        <v>159.699994</v>
      </c>
      <c r="Q144" s="5">
        <v>75.499991999999992</v>
      </c>
      <c r="R144" s="5">
        <v>428.60008000000005</v>
      </c>
      <c r="S144" s="5">
        <v>360.09996100000001</v>
      </c>
      <c r="T144" s="5">
        <v>343.59997300000003</v>
      </c>
      <c r="U144" s="22">
        <v>100.4</v>
      </c>
      <c r="V144" s="22">
        <v>64.3</v>
      </c>
      <c r="W144" s="22">
        <f>8*2.1625</f>
        <v>17.3</v>
      </c>
    </row>
    <row r="145" spans="1:23">
      <c r="A145" s="11">
        <v>660</v>
      </c>
      <c r="B145" s="5" t="s">
        <v>138</v>
      </c>
      <c r="C145" s="5">
        <f>82*1.963415</f>
        <v>161.00002999999998</v>
      </c>
      <c r="D145" s="5">
        <v>203.98</v>
      </c>
      <c r="E145" s="5">
        <v>117</v>
      </c>
      <c r="F145" s="5">
        <v>201.39999999999998</v>
      </c>
      <c r="G145" s="5">
        <v>167.96</v>
      </c>
      <c r="H145" s="5">
        <v>175.38</v>
      </c>
      <c r="I145" s="5">
        <v>238</v>
      </c>
      <c r="J145" s="5">
        <v>131.76</v>
      </c>
      <c r="K145" s="5">
        <v>98.800000000000011</v>
      </c>
      <c r="L145" s="5">
        <v>96.94</v>
      </c>
      <c r="M145" s="5">
        <v>188.73000000000002</v>
      </c>
      <c r="N145" s="5">
        <v>134.4</v>
      </c>
      <c r="O145" s="5">
        <v>87.6</v>
      </c>
      <c r="P145" s="5">
        <v>19.899998999999998</v>
      </c>
      <c r="Q145" s="5">
        <v>43.3</v>
      </c>
      <c r="R145" s="5">
        <v>296.59995199999997</v>
      </c>
      <c r="S145" s="5">
        <v>779.40004800000008</v>
      </c>
      <c r="T145" s="5">
        <v>206.900025</v>
      </c>
      <c r="U145" s="22">
        <f>14*2.307143</f>
        <v>32.300001999999999</v>
      </c>
      <c r="V145" s="5">
        <v>12</v>
      </c>
      <c r="W145" s="22">
        <f>6*2.35</f>
        <v>14.100000000000001</v>
      </c>
    </row>
    <row r="146" spans="1:23">
      <c r="A146" s="11">
        <v>663</v>
      </c>
      <c r="B146" s="5" t="s">
        <v>139</v>
      </c>
      <c r="C146" s="5">
        <f>229*2.415284</f>
        <v>553.10003600000005</v>
      </c>
      <c r="D146" s="5">
        <v>358.72</v>
      </c>
      <c r="E146" s="5">
        <v>250.88000000000002</v>
      </c>
      <c r="F146" s="5">
        <v>238.7</v>
      </c>
      <c r="G146" s="5">
        <v>460.6</v>
      </c>
      <c r="H146" s="5">
        <v>511.7</v>
      </c>
      <c r="I146" s="5">
        <v>427.05</v>
      </c>
      <c r="J146" s="5">
        <v>214.12</v>
      </c>
      <c r="K146" s="5">
        <v>210.93</v>
      </c>
      <c r="L146" s="5">
        <v>225.32999999999998</v>
      </c>
      <c r="M146" s="5">
        <v>171.72</v>
      </c>
      <c r="N146" s="5">
        <v>133</v>
      </c>
      <c r="O146" s="5">
        <v>77.489999999999995</v>
      </c>
      <c r="P146" s="5">
        <v>68.999989999999997</v>
      </c>
      <c r="Q146" s="5">
        <v>24.700005000000001</v>
      </c>
      <c r="R146" s="5">
        <v>330.20001000000002</v>
      </c>
      <c r="S146" s="5">
        <v>262.10003399999999</v>
      </c>
      <c r="T146" s="5">
        <v>253.20000200000001</v>
      </c>
      <c r="U146" s="22">
        <f>13*2.123077</f>
        <v>27.600000999999999</v>
      </c>
      <c r="V146" s="22">
        <f>4*1.625</f>
        <v>6.5</v>
      </c>
      <c r="W146" s="22">
        <f>8*1.8875</f>
        <v>15.1</v>
      </c>
    </row>
    <row r="147" spans="1:23">
      <c r="A147" s="11">
        <v>666</v>
      </c>
      <c r="B147" s="5" t="s">
        <v>140</v>
      </c>
      <c r="C147" s="5">
        <f>150*2.298667</f>
        <v>344.80005</v>
      </c>
      <c r="D147" s="5">
        <v>534.35699999999997</v>
      </c>
      <c r="E147" s="5">
        <v>507.4</v>
      </c>
      <c r="F147" s="5">
        <v>665.7</v>
      </c>
      <c r="G147" s="5">
        <v>848.64</v>
      </c>
      <c r="H147" s="5">
        <v>723.06000000000006</v>
      </c>
      <c r="I147" s="5">
        <v>937.30000000000007</v>
      </c>
      <c r="J147" s="5">
        <v>669.12</v>
      </c>
      <c r="K147" s="5">
        <v>616.32000000000005</v>
      </c>
      <c r="L147" s="5">
        <v>556.91999999999996</v>
      </c>
      <c r="M147" s="5">
        <v>794.56000000000006</v>
      </c>
      <c r="N147" s="5">
        <v>478.24</v>
      </c>
      <c r="O147" s="5">
        <v>414.12</v>
      </c>
      <c r="P147" s="5">
        <v>260.79998000000001</v>
      </c>
      <c r="Q147" s="5">
        <v>297.79998300000005</v>
      </c>
      <c r="R147" s="5">
        <v>909.99991800000009</v>
      </c>
      <c r="S147" s="5">
        <v>1077.9000840000001</v>
      </c>
      <c r="T147" s="5">
        <v>714.29988000000003</v>
      </c>
      <c r="U147" s="22">
        <f>133*2.268421</f>
        <v>301.69999300000001</v>
      </c>
      <c r="V147" s="22">
        <f>95*2.054737</f>
        <v>195.20001499999998</v>
      </c>
      <c r="W147" s="22">
        <f>79*1.934177</f>
        <v>152.799983</v>
      </c>
    </row>
    <row r="148" spans="1:23">
      <c r="A148" s="11">
        <v>670</v>
      </c>
      <c r="B148" s="5" t="s">
        <v>141</v>
      </c>
      <c r="C148" s="5">
        <f>282*2.621631</f>
        <v>739.29994199999999</v>
      </c>
      <c r="D148" s="5">
        <v>431.28</v>
      </c>
      <c r="E148" s="5">
        <v>314.76</v>
      </c>
      <c r="F148" s="5">
        <v>361.43999999999994</v>
      </c>
      <c r="G148" s="5">
        <v>364.5</v>
      </c>
      <c r="H148" s="5">
        <v>373.7</v>
      </c>
      <c r="I148" s="5">
        <v>421.36</v>
      </c>
      <c r="J148" s="5">
        <v>383.05</v>
      </c>
      <c r="K148" s="5">
        <v>390.96000000000004</v>
      </c>
      <c r="L148" s="5">
        <v>454.25999999999993</v>
      </c>
      <c r="M148" s="5">
        <v>401.1</v>
      </c>
      <c r="N148" s="5">
        <v>399.5</v>
      </c>
      <c r="O148" s="5">
        <v>219.08999999999997</v>
      </c>
      <c r="P148" s="5">
        <v>211.400015</v>
      </c>
      <c r="Q148" s="5">
        <v>69.500016000000002</v>
      </c>
      <c r="R148" s="5">
        <v>493.599898</v>
      </c>
      <c r="S148" s="5">
        <v>467.50003200000003</v>
      </c>
      <c r="T148" s="5">
        <v>486.19997699999999</v>
      </c>
      <c r="U148" s="22">
        <f>34*2.564706</f>
        <v>87.200004000000007</v>
      </c>
      <c r="V148" s="22">
        <f>53*2.922642</f>
        <v>154.900026</v>
      </c>
      <c r="W148" s="22">
        <v>79</v>
      </c>
    </row>
    <row r="149" spans="1:23">
      <c r="A149" s="11">
        <v>679</v>
      </c>
      <c r="B149" s="5" t="s">
        <v>142</v>
      </c>
      <c r="C149" s="5">
        <f>35*2.091429</f>
        <v>73.200015000000008</v>
      </c>
      <c r="D149" s="5">
        <v>58.899000000000001</v>
      </c>
      <c r="E149" s="5">
        <v>75.899999999999991</v>
      </c>
      <c r="F149" s="5">
        <v>98.100000000000009</v>
      </c>
      <c r="G149" s="5">
        <v>153.9</v>
      </c>
      <c r="H149" s="5">
        <v>140.80000000000001</v>
      </c>
      <c r="I149" s="5">
        <v>143.22</v>
      </c>
      <c r="J149" s="5">
        <v>142.72</v>
      </c>
      <c r="K149" s="5">
        <v>91.56</v>
      </c>
      <c r="L149" s="5">
        <v>76.8</v>
      </c>
      <c r="M149" s="5">
        <v>96</v>
      </c>
      <c r="N149" s="5">
        <v>120.78999999999999</v>
      </c>
      <c r="O149" s="5">
        <v>40.74</v>
      </c>
      <c r="P149" s="5">
        <v>30.100005000000003</v>
      </c>
      <c r="Q149" s="5">
        <v>4.5</v>
      </c>
      <c r="R149" s="5">
        <v>78.299990999999991</v>
      </c>
      <c r="S149" s="5">
        <v>66.500010000000003</v>
      </c>
      <c r="T149" s="5">
        <v>45.600009</v>
      </c>
      <c r="U149" s="22">
        <f>4*2.275</f>
        <v>9.1</v>
      </c>
      <c r="V149" s="22">
        <f>8*1.975</f>
        <v>15.8</v>
      </c>
      <c r="W149" s="22">
        <f>6*1.716667</f>
        <v>10.300001999999999</v>
      </c>
    </row>
    <row r="150" spans="1:23">
      <c r="A150" s="11">
        <v>690</v>
      </c>
      <c r="B150" s="5" t="s">
        <v>143</v>
      </c>
      <c r="C150" s="5">
        <f>174*2.373563</f>
        <v>412.99996199999998</v>
      </c>
      <c r="D150" s="5">
        <v>448.05199999999996</v>
      </c>
      <c r="E150" s="5">
        <v>351.08000000000004</v>
      </c>
      <c r="F150" s="5">
        <v>419.05</v>
      </c>
      <c r="G150" s="5">
        <v>391.97999999999996</v>
      </c>
      <c r="H150" s="5">
        <v>446.04</v>
      </c>
      <c r="I150" s="5">
        <v>328.83000000000004</v>
      </c>
      <c r="J150" s="5">
        <v>191.08</v>
      </c>
      <c r="K150" s="5">
        <v>200.76000000000002</v>
      </c>
      <c r="L150" s="5">
        <v>122.66999999999999</v>
      </c>
      <c r="M150" s="5">
        <v>197.33999999999997</v>
      </c>
      <c r="N150" s="5">
        <v>188.86</v>
      </c>
      <c r="O150" s="5">
        <v>125.12</v>
      </c>
      <c r="P150" s="5">
        <v>76.100001999999989</v>
      </c>
      <c r="Q150" s="5">
        <v>55.600007999999995</v>
      </c>
      <c r="R150" s="5">
        <v>138.60000000000002</v>
      </c>
      <c r="S150" s="5">
        <v>105.60000000000001</v>
      </c>
      <c r="T150" s="5">
        <v>75.100011000000009</v>
      </c>
      <c r="U150" s="22">
        <v>42.8</v>
      </c>
      <c r="V150" s="22">
        <v>51.7</v>
      </c>
      <c r="W150" s="5">
        <v>23.2</v>
      </c>
    </row>
    <row r="151" spans="1:23">
      <c r="A151" s="11">
        <v>692</v>
      </c>
      <c r="B151" s="5" t="s">
        <v>144</v>
      </c>
      <c r="C151" s="5">
        <f>62*2.45</f>
        <v>151.9</v>
      </c>
      <c r="D151" s="5">
        <v>101.399985</v>
      </c>
      <c r="E151" s="5">
        <v>87.740000000000009</v>
      </c>
      <c r="F151" s="5">
        <v>62.5</v>
      </c>
      <c r="G151" s="5">
        <v>120.78999999999999</v>
      </c>
      <c r="H151" s="5">
        <v>88.06</v>
      </c>
      <c r="I151" s="5">
        <v>119.85000000000001</v>
      </c>
      <c r="J151" s="5">
        <v>73.149999999999991</v>
      </c>
      <c r="K151" s="5">
        <v>67.86</v>
      </c>
      <c r="L151" s="5">
        <v>77.7</v>
      </c>
      <c r="M151" s="5">
        <v>108.78999999999999</v>
      </c>
      <c r="N151" s="5">
        <v>97.5</v>
      </c>
      <c r="O151" s="5">
        <v>59.25</v>
      </c>
      <c r="P151" s="5">
        <v>33.700000000000003</v>
      </c>
      <c r="Q151" s="5">
        <v>17.100000000000001</v>
      </c>
      <c r="R151" s="5">
        <v>45.399996000000002</v>
      </c>
      <c r="S151" s="5">
        <v>35.400000000000006</v>
      </c>
      <c r="T151" s="5">
        <v>35.199996000000006</v>
      </c>
      <c r="U151" s="22">
        <f>8*2.9125</f>
        <v>23.3</v>
      </c>
      <c r="V151" s="22">
        <f>4*2.675</f>
        <v>10.7</v>
      </c>
      <c r="W151" s="22">
        <f>6*2.383333</f>
        <v>14.299997999999999</v>
      </c>
    </row>
    <row r="152" spans="1:23">
      <c r="A152" s="11">
        <v>694</v>
      </c>
      <c r="B152" s="5" t="s">
        <v>145</v>
      </c>
      <c r="C152" s="5">
        <f>35*2.4</f>
        <v>84</v>
      </c>
      <c r="D152" s="5">
        <v>56.095999999999997</v>
      </c>
      <c r="E152" s="5">
        <v>127.12</v>
      </c>
      <c r="F152" s="5">
        <v>119.56</v>
      </c>
      <c r="G152" s="5">
        <v>151.20000000000002</v>
      </c>
      <c r="H152" s="5">
        <v>225.71999999999997</v>
      </c>
      <c r="I152" s="5">
        <v>127.1</v>
      </c>
      <c r="J152" s="5">
        <v>125.66</v>
      </c>
      <c r="K152" s="5">
        <v>86.92</v>
      </c>
      <c r="L152" s="5">
        <v>70.72</v>
      </c>
      <c r="M152" s="5">
        <v>82.13</v>
      </c>
      <c r="N152" s="5">
        <v>107.5</v>
      </c>
      <c r="O152" s="5">
        <v>52.44</v>
      </c>
      <c r="P152" s="5">
        <v>61.69999</v>
      </c>
      <c r="Q152" s="5">
        <v>58.700003999999993</v>
      </c>
      <c r="R152" s="5">
        <v>137.99999200000002</v>
      </c>
      <c r="S152" s="5">
        <v>127.300011</v>
      </c>
      <c r="T152" s="5">
        <v>131.800014</v>
      </c>
      <c r="U152" s="22">
        <f>19*2.268421</f>
        <v>43.099998999999997</v>
      </c>
      <c r="V152" s="22">
        <v>29.1</v>
      </c>
      <c r="W152" s="22">
        <v>36.6</v>
      </c>
    </row>
    <row r="153" spans="1:23">
      <c r="A153" s="11">
        <v>696</v>
      </c>
      <c r="B153" s="5" t="s">
        <v>146</v>
      </c>
      <c r="C153" s="5">
        <f>67*2.644776</f>
        <v>177.19999199999998</v>
      </c>
      <c r="D153" s="5">
        <v>100.28</v>
      </c>
      <c r="E153" s="5">
        <v>182.16</v>
      </c>
      <c r="F153" s="5">
        <v>212.4</v>
      </c>
      <c r="G153" s="5">
        <v>177.39</v>
      </c>
      <c r="H153" s="5">
        <v>190.96</v>
      </c>
      <c r="I153" s="5">
        <v>177.8</v>
      </c>
      <c r="J153" s="5">
        <v>148.96</v>
      </c>
      <c r="K153" s="5">
        <v>134.4</v>
      </c>
      <c r="L153" s="5">
        <v>172.79999999999998</v>
      </c>
      <c r="M153" s="5">
        <v>127.05</v>
      </c>
      <c r="N153" s="5">
        <v>98.7</v>
      </c>
      <c r="O153" s="5">
        <v>69.39</v>
      </c>
      <c r="P153" s="5">
        <v>44.499994999999998</v>
      </c>
      <c r="Q153" s="5">
        <v>51.400008</v>
      </c>
      <c r="R153" s="5">
        <v>148.699994</v>
      </c>
      <c r="S153" s="5">
        <v>224.80002200000001</v>
      </c>
      <c r="T153" s="5">
        <v>273.10000200000002</v>
      </c>
      <c r="U153" s="22">
        <f>43*2.423256</f>
        <v>104.200008</v>
      </c>
      <c r="V153" s="22">
        <f>37*2.654054</f>
        <v>98.199997999999994</v>
      </c>
      <c r="W153" s="22">
        <v>55.6</v>
      </c>
    </row>
    <row r="154" spans="1:23">
      <c r="A154" s="11">
        <v>698</v>
      </c>
      <c r="B154" s="5" t="s">
        <v>147</v>
      </c>
      <c r="C154" s="5">
        <f>29*2.672414</f>
        <v>77.500005999999999</v>
      </c>
      <c r="D154" s="5">
        <v>51.311999999999998</v>
      </c>
      <c r="E154" s="5">
        <v>71.039999999999992</v>
      </c>
      <c r="F154" s="5">
        <v>113.99999999999999</v>
      </c>
      <c r="G154" s="5">
        <v>178.5</v>
      </c>
      <c r="H154" s="5">
        <v>125.97000000000001</v>
      </c>
      <c r="I154" s="5">
        <v>127.02</v>
      </c>
      <c r="J154" s="5">
        <v>98.05</v>
      </c>
      <c r="K154" s="5">
        <v>73.849999999999994</v>
      </c>
      <c r="L154" s="5">
        <v>69.680000000000007</v>
      </c>
      <c r="M154" s="5">
        <v>113.1</v>
      </c>
      <c r="N154" s="5">
        <v>81.900000000000006</v>
      </c>
      <c r="O154" s="5">
        <v>27.839999999999996</v>
      </c>
      <c r="P154" s="5">
        <v>57.8</v>
      </c>
      <c r="Q154" s="5">
        <v>10.600000000000001</v>
      </c>
      <c r="R154" s="5">
        <v>56.300001999999999</v>
      </c>
      <c r="S154" s="5">
        <v>35.400002000000001</v>
      </c>
      <c r="T154" s="5">
        <v>29.499996000000003</v>
      </c>
      <c r="U154" s="22">
        <f>4*1.95</f>
        <v>7.8</v>
      </c>
      <c r="V154" s="5">
        <v>7.8</v>
      </c>
      <c r="W154" s="22">
        <f>4*1.875</f>
        <v>7.5</v>
      </c>
    </row>
    <row r="155" spans="1:23">
      <c r="A155" s="11">
        <v>700</v>
      </c>
      <c r="B155" s="5" t="s">
        <v>148</v>
      </c>
      <c r="C155" s="5">
        <f>16*2.025</f>
        <v>32.4</v>
      </c>
      <c r="D155" s="5">
        <v>62.4</v>
      </c>
      <c r="E155" s="5">
        <v>132.72</v>
      </c>
      <c r="F155" s="5">
        <v>90.71</v>
      </c>
      <c r="G155" s="5">
        <v>38.699999999999996</v>
      </c>
      <c r="H155" s="5">
        <v>85.339999999999989</v>
      </c>
      <c r="I155" s="5">
        <v>79.180000000000007</v>
      </c>
      <c r="J155" s="5">
        <v>49.14</v>
      </c>
      <c r="K155" s="5">
        <v>51.33</v>
      </c>
      <c r="L155" s="5">
        <v>68.95</v>
      </c>
      <c r="M155" s="5">
        <v>38.880000000000003</v>
      </c>
      <c r="N155" s="5">
        <v>411.6</v>
      </c>
      <c r="O155" s="5">
        <v>366.75</v>
      </c>
      <c r="P155" s="5">
        <v>106.80000800000001</v>
      </c>
      <c r="Q155" s="5">
        <v>64.999988999999999</v>
      </c>
      <c r="R155" s="5">
        <v>399.19995599999999</v>
      </c>
      <c r="S155" s="5">
        <v>344.75321700000001</v>
      </c>
      <c r="T155" s="5">
        <v>590.70010500000001</v>
      </c>
      <c r="U155" s="22">
        <f>47*2.125532</f>
        <v>99.90000400000001</v>
      </c>
      <c r="V155" s="22">
        <v>96.6</v>
      </c>
      <c r="W155" s="22">
        <v>93.4</v>
      </c>
    </row>
    <row r="156" spans="1:23">
      <c r="A156" s="11">
        <v>701</v>
      </c>
      <c r="B156" s="5" t="s">
        <v>149</v>
      </c>
      <c r="C156" s="5">
        <v>0</v>
      </c>
      <c r="D156" s="5">
        <v>6</v>
      </c>
      <c r="E156" s="5">
        <v>50.599999999999994</v>
      </c>
      <c r="F156" s="5">
        <v>36</v>
      </c>
      <c r="G156" s="5">
        <v>70</v>
      </c>
      <c r="H156" s="5">
        <v>72.64</v>
      </c>
      <c r="I156" s="5">
        <v>36.04</v>
      </c>
      <c r="J156" s="5">
        <v>65</v>
      </c>
      <c r="K156" s="5">
        <v>49</v>
      </c>
      <c r="L156" s="5">
        <v>39.200000000000003</v>
      </c>
      <c r="M156" s="5">
        <v>56.58</v>
      </c>
      <c r="N156" s="5">
        <v>21.6</v>
      </c>
      <c r="O156" s="5">
        <v>28.08</v>
      </c>
      <c r="P156" s="5">
        <v>6.9</v>
      </c>
      <c r="Q156" s="5">
        <v>1.6</v>
      </c>
      <c r="R156" s="5">
        <v>29.399996999999999</v>
      </c>
      <c r="S156" s="5">
        <v>30.999996000000003</v>
      </c>
      <c r="T156" s="5">
        <v>60.600009</v>
      </c>
      <c r="U156" s="22">
        <f>8*2.7625</f>
        <v>22.1</v>
      </c>
      <c r="V156" s="22">
        <f>2*2.9</f>
        <v>5.8</v>
      </c>
      <c r="W156" s="5">
        <v>6</v>
      </c>
    </row>
    <row r="157" spans="1:23">
      <c r="A157" s="11">
        <v>702</v>
      </c>
      <c r="B157" s="5" t="s">
        <v>150</v>
      </c>
      <c r="C157" s="5">
        <v>0</v>
      </c>
      <c r="D157" s="5">
        <v>0</v>
      </c>
      <c r="E157" s="5">
        <v>31.85</v>
      </c>
      <c r="F157" s="5">
        <v>63.180000000000007</v>
      </c>
      <c r="G157" s="5">
        <v>25.52</v>
      </c>
      <c r="H157" s="5">
        <v>25.799999999999997</v>
      </c>
      <c r="I157" s="5">
        <v>39</v>
      </c>
      <c r="J157" s="5">
        <v>47.160000000000004</v>
      </c>
      <c r="K157" s="5">
        <v>28.56</v>
      </c>
      <c r="L157" s="5">
        <v>13.8</v>
      </c>
      <c r="M157" s="5">
        <v>24.21</v>
      </c>
      <c r="N157" s="5">
        <v>35.36</v>
      </c>
      <c r="O157" s="5">
        <v>23.84</v>
      </c>
      <c r="P157" s="5">
        <v>7.8</v>
      </c>
      <c r="Q157" s="5">
        <v>1</v>
      </c>
      <c r="R157" s="5">
        <v>37.900002000000001</v>
      </c>
      <c r="S157" s="5">
        <v>55.400003999999996</v>
      </c>
      <c r="T157" s="5">
        <v>6.7</v>
      </c>
      <c r="U157" s="22">
        <f>4.4</f>
        <v>4.4000000000000004</v>
      </c>
      <c r="V157" s="22">
        <f>5*2.28</f>
        <v>11.399999999999999</v>
      </c>
      <c r="W157" s="5">
        <v>0</v>
      </c>
    </row>
    <row r="158" spans="1:23">
      <c r="A158" s="11">
        <v>703</v>
      </c>
      <c r="B158" s="5" t="s">
        <v>151</v>
      </c>
      <c r="C158" s="5">
        <v>0</v>
      </c>
      <c r="D158" s="5">
        <v>0</v>
      </c>
      <c r="E158" s="5">
        <v>22.32</v>
      </c>
      <c r="F158" s="5">
        <v>31.2</v>
      </c>
      <c r="G158" s="5">
        <v>12.6</v>
      </c>
      <c r="H158" s="5">
        <v>27.04</v>
      </c>
      <c r="I158" s="5">
        <v>49.76</v>
      </c>
      <c r="J158" s="5">
        <v>39.06</v>
      </c>
      <c r="K158" s="5">
        <v>13.98</v>
      </c>
      <c r="L158" s="5">
        <v>39.599999999999994</v>
      </c>
      <c r="M158" s="5">
        <v>15.18</v>
      </c>
      <c r="N158" s="5">
        <v>19.440000000000001</v>
      </c>
      <c r="O158" s="5">
        <v>27.599999999999998</v>
      </c>
      <c r="P158" s="5">
        <v>3</v>
      </c>
      <c r="Q158" s="5">
        <v>5.8</v>
      </c>
      <c r="R158" s="5">
        <v>98.599988999999994</v>
      </c>
      <c r="S158" s="5">
        <v>9.6000000000000014</v>
      </c>
      <c r="T158" s="5">
        <v>25.499994000000001</v>
      </c>
      <c r="U158" s="5">
        <v>0</v>
      </c>
      <c r="V158" s="22">
        <f>11*2.1</f>
        <v>23.1</v>
      </c>
      <c r="W158" s="22">
        <f>12*1.858333</f>
        <v>22.299996</v>
      </c>
    </row>
    <row r="159" spans="1:23">
      <c r="A159" s="11">
        <v>704</v>
      </c>
      <c r="B159" s="5" t="s">
        <v>152</v>
      </c>
      <c r="C159" s="5">
        <v>0</v>
      </c>
      <c r="D159" s="5">
        <v>3.5</v>
      </c>
      <c r="E159" s="5">
        <v>65.88</v>
      </c>
      <c r="F159" s="5">
        <v>65.599999999999994</v>
      </c>
      <c r="G159" s="5">
        <v>65.34</v>
      </c>
      <c r="H159" s="5">
        <v>39.620000000000005</v>
      </c>
      <c r="I159" s="5">
        <v>81.489999999999995</v>
      </c>
      <c r="J159" s="5">
        <v>43.51</v>
      </c>
      <c r="K159" s="5">
        <v>62.51</v>
      </c>
      <c r="L159" s="5">
        <v>23.1</v>
      </c>
      <c r="M159" s="5">
        <v>27.240000000000002</v>
      </c>
      <c r="N159" s="5">
        <v>52.800000000000004</v>
      </c>
      <c r="O159" s="5">
        <v>28.92</v>
      </c>
      <c r="P159" s="5">
        <v>8.6000010000000007</v>
      </c>
      <c r="Q159" s="5">
        <v>13.8</v>
      </c>
      <c r="R159" s="5">
        <v>71.599987000000013</v>
      </c>
      <c r="S159" s="5">
        <v>65.199988000000005</v>
      </c>
      <c r="T159" s="5">
        <v>9.9</v>
      </c>
      <c r="U159" s="5">
        <v>2.8</v>
      </c>
      <c r="V159" s="22">
        <f>5.8</f>
        <v>5.8</v>
      </c>
      <c r="W159" s="5">
        <v>0</v>
      </c>
    </row>
    <row r="160" spans="1:23">
      <c r="A160" s="11">
        <v>705</v>
      </c>
      <c r="B160" s="5" t="s">
        <v>153</v>
      </c>
      <c r="C160" s="5">
        <v>0</v>
      </c>
      <c r="D160" s="5">
        <v>3</v>
      </c>
      <c r="E160" s="5">
        <v>94.4</v>
      </c>
      <c r="F160" s="5">
        <v>103.95</v>
      </c>
      <c r="G160" s="5">
        <v>87.289999999999992</v>
      </c>
      <c r="H160" s="5">
        <v>119.85</v>
      </c>
      <c r="I160" s="5">
        <v>113.88</v>
      </c>
      <c r="J160" s="5">
        <v>101.85000000000001</v>
      </c>
      <c r="K160" s="5">
        <v>102.98</v>
      </c>
      <c r="L160" s="5">
        <v>44.940000000000005</v>
      </c>
      <c r="M160" s="5">
        <v>89.910000000000011</v>
      </c>
      <c r="N160" s="5">
        <v>47.04</v>
      </c>
      <c r="O160" s="5">
        <v>40.049999999999997</v>
      </c>
      <c r="P160" s="5">
        <v>25.6</v>
      </c>
      <c r="Q160" s="5">
        <v>22.4</v>
      </c>
      <c r="R160" s="5">
        <v>90.199994000000004</v>
      </c>
      <c r="S160" s="5">
        <v>77.200001999999998</v>
      </c>
      <c r="T160" s="5">
        <v>45.9</v>
      </c>
      <c r="U160" s="22">
        <f>4*2.15</f>
        <v>8.6</v>
      </c>
      <c r="V160" s="5">
        <v>22.8</v>
      </c>
      <c r="W160" s="5">
        <f>8*2.625</f>
        <v>21</v>
      </c>
    </row>
    <row r="161" spans="1:23">
      <c r="A161" s="11">
        <v>710</v>
      </c>
      <c r="B161" s="5" t="s">
        <v>154</v>
      </c>
      <c r="C161" s="5">
        <f>327*2.543119</f>
        <v>831.59991300000002</v>
      </c>
      <c r="D161" s="5">
        <v>992.99199999999996</v>
      </c>
      <c r="E161" s="5">
        <v>1064.5700000000002</v>
      </c>
      <c r="F161" s="5">
        <v>1246.3</v>
      </c>
      <c r="G161" s="5">
        <v>1647.3</v>
      </c>
      <c r="H161" s="5">
        <v>1518.08</v>
      </c>
      <c r="I161" s="5">
        <v>1962.38</v>
      </c>
      <c r="J161" s="5">
        <v>1841.5</v>
      </c>
      <c r="K161" s="5">
        <v>1310.4000000000001</v>
      </c>
      <c r="L161" s="5">
        <v>1346.15</v>
      </c>
      <c r="M161" s="5">
        <v>1277.6499999999999</v>
      </c>
      <c r="N161" s="5">
        <v>1233.24</v>
      </c>
      <c r="O161" s="5">
        <v>1198.8799999999999</v>
      </c>
      <c r="P161" s="5">
        <v>724.8998620000001</v>
      </c>
      <c r="Q161" s="5">
        <v>617.99995999999999</v>
      </c>
      <c r="R161" s="5">
        <v>2400.8004239999996</v>
      </c>
      <c r="S161" s="5">
        <v>2302.8999840000001</v>
      </c>
      <c r="T161" s="5">
        <v>1481.299794</v>
      </c>
      <c r="U161" s="22">
        <f>239*2.537657</f>
        <v>606.50002299999994</v>
      </c>
      <c r="V161" s="22">
        <f>255*2.412549</f>
        <v>615.19999499999994</v>
      </c>
      <c r="W161" s="22">
        <v>565.1</v>
      </c>
    </row>
    <row r="162" spans="1:23">
      <c r="A162" s="11">
        <v>712</v>
      </c>
      <c r="B162" s="5" t="s">
        <v>155</v>
      </c>
      <c r="C162" s="5">
        <f>8*2.2</f>
        <v>17.600000000000001</v>
      </c>
      <c r="D162" s="5">
        <v>37.895000000000003</v>
      </c>
      <c r="E162" s="5">
        <v>14.1</v>
      </c>
      <c r="F162" s="5">
        <v>26.4</v>
      </c>
      <c r="G162" s="5">
        <v>21.599999999999998</v>
      </c>
      <c r="H162" s="5">
        <v>24.39</v>
      </c>
      <c r="I162" s="5">
        <v>25.38</v>
      </c>
      <c r="J162" s="5">
        <v>12.3</v>
      </c>
      <c r="K162" s="5">
        <v>19.98</v>
      </c>
      <c r="L162" s="5">
        <v>12.299999999999999</v>
      </c>
      <c r="M162" s="5">
        <v>15.44</v>
      </c>
      <c r="N162" s="5">
        <v>8.3999999999999986</v>
      </c>
      <c r="O162" s="5">
        <v>2.8</v>
      </c>
      <c r="P162" s="5">
        <v>1</v>
      </c>
      <c r="Q162" s="5">
        <v>1.9</v>
      </c>
      <c r="R162" s="5">
        <v>33.299999999999997</v>
      </c>
      <c r="S162" s="5">
        <v>15.400001999999999</v>
      </c>
      <c r="T162" s="5">
        <v>23.2</v>
      </c>
      <c r="U162" s="5">
        <v>0</v>
      </c>
      <c r="V162" s="5">
        <v>3</v>
      </c>
      <c r="W162" s="5">
        <v>0</v>
      </c>
    </row>
    <row r="163" spans="1:23">
      <c r="A163" s="11">
        <v>713</v>
      </c>
      <c r="B163" s="5" t="s">
        <v>156</v>
      </c>
      <c r="C163" s="5">
        <f>64*2.6125</f>
        <v>167.2</v>
      </c>
      <c r="D163" s="5">
        <v>323.52800000000002</v>
      </c>
      <c r="E163" s="5">
        <v>435.12</v>
      </c>
      <c r="F163" s="5">
        <v>472.5</v>
      </c>
      <c r="G163" s="5">
        <v>376</v>
      </c>
      <c r="H163" s="5">
        <v>490.44000000000005</v>
      </c>
      <c r="I163" s="5">
        <v>584.24</v>
      </c>
      <c r="J163" s="5">
        <v>434.28</v>
      </c>
      <c r="K163" s="5">
        <v>281.60000000000002</v>
      </c>
      <c r="L163" s="5">
        <v>283.62</v>
      </c>
      <c r="M163" s="5">
        <v>271.03999999999996</v>
      </c>
      <c r="N163" s="5">
        <v>281.97000000000003</v>
      </c>
      <c r="O163" s="5">
        <v>376.54</v>
      </c>
      <c r="P163" s="5">
        <v>224.599987</v>
      </c>
      <c r="Q163" s="5">
        <v>86.500011000000001</v>
      </c>
      <c r="R163" s="5">
        <v>339.99997200000001</v>
      </c>
      <c r="S163" s="5">
        <v>113.90002</v>
      </c>
      <c r="T163" s="5">
        <v>114.600009</v>
      </c>
      <c r="U163" s="22">
        <v>87.3</v>
      </c>
      <c r="V163" s="22">
        <f>32*2.85625</f>
        <v>91.4</v>
      </c>
      <c r="W163" s="22">
        <v>51.2</v>
      </c>
    </row>
    <row r="164" spans="1:23">
      <c r="A164" s="11">
        <v>731</v>
      </c>
      <c r="B164" s="5" t="s">
        <v>157</v>
      </c>
      <c r="C164" s="5">
        <f>77*2.355844</f>
        <v>181.39998799999998</v>
      </c>
      <c r="D164" s="5">
        <v>195.93599999999998</v>
      </c>
      <c r="E164" s="5">
        <v>173.01000000000002</v>
      </c>
      <c r="F164" s="5">
        <v>213.05999999999997</v>
      </c>
      <c r="G164" s="5">
        <v>408.96</v>
      </c>
      <c r="H164" s="5">
        <v>322.91999999999996</v>
      </c>
      <c r="I164" s="5">
        <v>239.4</v>
      </c>
      <c r="J164" s="5">
        <v>228.76</v>
      </c>
      <c r="K164" s="5">
        <v>143.01</v>
      </c>
      <c r="L164" s="5">
        <v>205.44</v>
      </c>
      <c r="M164" s="5">
        <v>411.72999999999996</v>
      </c>
      <c r="N164" s="5">
        <v>226.56</v>
      </c>
      <c r="O164" s="5">
        <v>334.9</v>
      </c>
      <c r="P164" s="5">
        <v>320.00006100000002</v>
      </c>
      <c r="Q164" s="5">
        <v>394.60001199999999</v>
      </c>
      <c r="R164" s="5">
        <v>620.09987000000001</v>
      </c>
      <c r="S164" s="5">
        <v>637.59985200000006</v>
      </c>
      <c r="T164" s="5">
        <v>753.29994599999998</v>
      </c>
      <c r="U164" s="22">
        <f>63*2.38254</f>
        <v>150.10002</v>
      </c>
      <c r="V164" s="22">
        <f>72*2.263889</f>
        <v>163.00000799999998</v>
      </c>
      <c r="W164" s="22">
        <f>58*2.284483</f>
        <v>132.50001399999999</v>
      </c>
    </row>
    <row r="165" spans="1:23">
      <c r="A165" s="11">
        <v>732</v>
      </c>
      <c r="B165" s="5" t="s">
        <v>158</v>
      </c>
      <c r="C165" s="5">
        <f>186*2.472043</f>
        <v>459.79999800000002</v>
      </c>
      <c r="D165" s="5">
        <v>584.12300000000005</v>
      </c>
      <c r="E165" s="5">
        <v>535.92000000000007</v>
      </c>
      <c r="F165" s="5">
        <v>602.27</v>
      </c>
      <c r="G165" s="5">
        <v>792.06000000000006</v>
      </c>
      <c r="H165" s="5">
        <v>713.74</v>
      </c>
      <c r="I165" s="5">
        <v>841.18000000000006</v>
      </c>
      <c r="J165" s="5">
        <v>779.81999999999994</v>
      </c>
      <c r="K165" s="5">
        <v>624.07999999999993</v>
      </c>
      <c r="L165" s="5">
        <v>578.28</v>
      </c>
      <c r="M165" s="5">
        <v>546.55999999999995</v>
      </c>
      <c r="N165" s="5">
        <v>549.83999999999992</v>
      </c>
      <c r="O165" s="5">
        <v>556.91999999999996</v>
      </c>
      <c r="P165" s="5">
        <v>466.59996999999998</v>
      </c>
      <c r="Q165" s="5">
        <v>328.79993899999999</v>
      </c>
      <c r="R165" s="5">
        <v>797.00004000000001</v>
      </c>
      <c r="S165" s="5">
        <v>774.39998000000003</v>
      </c>
      <c r="T165" s="5">
        <v>852.00010000000009</v>
      </c>
      <c r="U165" s="22">
        <f>90*2.355556</f>
        <v>212.00004000000001</v>
      </c>
      <c r="V165" s="22">
        <f>78*2.488462</f>
        <v>194.10003600000002</v>
      </c>
      <c r="W165" s="22">
        <v>193.5</v>
      </c>
    </row>
    <row r="166" spans="1:23">
      <c r="A166" s="11">
        <v>740</v>
      </c>
      <c r="B166" s="5" t="s">
        <v>159</v>
      </c>
      <c r="C166" s="5">
        <f>645*2.893023</f>
        <v>1865.9998349999998</v>
      </c>
      <c r="D166" s="5">
        <v>1877.3819999999998</v>
      </c>
      <c r="E166" s="5">
        <v>1778.61</v>
      </c>
      <c r="F166" s="5">
        <v>1620.2900000000002</v>
      </c>
      <c r="G166" s="5">
        <v>1932.48</v>
      </c>
      <c r="H166" s="5">
        <v>2172.1</v>
      </c>
      <c r="I166" s="5">
        <v>1786.1599999999999</v>
      </c>
      <c r="J166" s="5">
        <v>1868.64</v>
      </c>
      <c r="K166" s="5">
        <v>1627.08</v>
      </c>
      <c r="L166" s="5">
        <v>1553.8799999999999</v>
      </c>
      <c r="M166" s="5">
        <v>1269.1000000000001</v>
      </c>
      <c r="N166" s="5">
        <v>1300.48</v>
      </c>
      <c r="O166" s="5">
        <v>1030.74</v>
      </c>
      <c r="P166" s="5">
        <v>666.30011400000001</v>
      </c>
      <c r="Q166" s="5">
        <v>541.09990199999993</v>
      </c>
      <c r="R166" s="5">
        <v>1547.700276</v>
      </c>
      <c r="S166" s="5">
        <v>1555.2001079999998</v>
      </c>
      <c r="T166" s="5">
        <v>1261.5001320000001</v>
      </c>
      <c r="U166" s="5">
        <v>218.6</v>
      </c>
      <c r="V166" s="22">
        <f>90*2.363333</f>
        <v>212.69996999999998</v>
      </c>
      <c r="W166" s="22">
        <f>90*2.378889</f>
        <v>214.10001</v>
      </c>
    </row>
    <row r="167" spans="1:23">
      <c r="A167" s="11">
        <v>750</v>
      </c>
      <c r="B167" s="5" t="s">
        <v>160</v>
      </c>
      <c r="C167" s="5">
        <f>77*2.202597</f>
        <v>169.59996899999999</v>
      </c>
      <c r="D167" s="5">
        <v>269.48099999999999</v>
      </c>
      <c r="E167" s="5">
        <v>288.14999999999998</v>
      </c>
      <c r="F167" s="5">
        <v>409.70000000000005</v>
      </c>
      <c r="G167" s="5">
        <v>667.32</v>
      </c>
      <c r="H167" s="5">
        <v>739.59</v>
      </c>
      <c r="I167" s="5">
        <v>653.40000000000009</v>
      </c>
      <c r="J167" s="5">
        <v>671.16</v>
      </c>
      <c r="K167" s="5">
        <v>505.99999999999994</v>
      </c>
      <c r="L167" s="5">
        <v>590.45000000000005</v>
      </c>
      <c r="M167" s="5">
        <v>600.24</v>
      </c>
      <c r="N167" s="5">
        <v>774</v>
      </c>
      <c r="O167" s="5">
        <v>531.30000000000007</v>
      </c>
      <c r="P167" s="5">
        <v>335.79993999999999</v>
      </c>
      <c r="Q167" s="5">
        <v>324.60004500000002</v>
      </c>
      <c r="R167" s="5">
        <v>1152.2001899999998</v>
      </c>
      <c r="S167" s="5">
        <v>906.59990000000005</v>
      </c>
      <c r="T167" s="5">
        <v>631.09990800000003</v>
      </c>
      <c r="U167" s="22">
        <f>86*2.031395</f>
        <v>174.69996999999998</v>
      </c>
      <c r="V167" s="22">
        <f>70*2.34</f>
        <v>163.79999999999998</v>
      </c>
      <c r="W167" s="22">
        <f>56*2.760714</f>
        <v>154.59998400000001</v>
      </c>
    </row>
    <row r="168" spans="1:23">
      <c r="A168" s="11">
        <v>760</v>
      </c>
      <c r="B168" s="5" t="s">
        <v>161</v>
      </c>
      <c r="C168" s="5">
        <v>5.4</v>
      </c>
      <c r="D168" s="5">
        <v>15</v>
      </c>
      <c r="E168" s="5">
        <v>3.8</v>
      </c>
      <c r="F168" s="5">
        <v>14.6</v>
      </c>
      <c r="G168" s="5">
        <v>1</v>
      </c>
      <c r="H168" s="5">
        <v>1</v>
      </c>
      <c r="I168" s="5">
        <v>5.4</v>
      </c>
      <c r="J168" s="5">
        <v>0</v>
      </c>
      <c r="K168" s="5">
        <v>8.52</v>
      </c>
      <c r="L168" s="5">
        <v>1.9</v>
      </c>
      <c r="M168" s="5">
        <v>4.9000000000000004</v>
      </c>
      <c r="N168" s="5">
        <v>7.9</v>
      </c>
      <c r="O168" s="5">
        <v>0</v>
      </c>
      <c r="P168" s="5">
        <v>1</v>
      </c>
      <c r="Q168" s="5">
        <v>0</v>
      </c>
      <c r="R168" s="5">
        <v>15.500002</v>
      </c>
      <c r="S168" s="5">
        <v>1.9</v>
      </c>
      <c r="T168" s="5">
        <v>1.9</v>
      </c>
      <c r="U168" s="5">
        <v>0</v>
      </c>
      <c r="V168" s="5">
        <v>3</v>
      </c>
      <c r="W168" s="5">
        <v>0</v>
      </c>
    </row>
    <row r="169" spans="1:23">
      <c r="A169" s="11">
        <v>770</v>
      </c>
      <c r="B169" s="5" t="s">
        <v>162</v>
      </c>
      <c r="C169" s="5">
        <f>75*2.089333</f>
        <v>156.69997499999999</v>
      </c>
      <c r="D169" s="5">
        <v>256.69689999999997</v>
      </c>
      <c r="E169" s="5">
        <v>327.66000000000003</v>
      </c>
      <c r="F169" s="5">
        <v>246.1</v>
      </c>
      <c r="G169" s="5">
        <v>361.08</v>
      </c>
      <c r="H169" s="5">
        <v>362.09999999999997</v>
      </c>
      <c r="I169" s="5">
        <v>239.56</v>
      </c>
      <c r="J169" s="5">
        <v>253.76000000000002</v>
      </c>
      <c r="K169" s="5">
        <v>288</v>
      </c>
      <c r="L169" s="5">
        <v>303.04999999999995</v>
      </c>
      <c r="M169" s="5">
        <v>237.11999999999998</v>
      </c>
      <c r="N169" s="5">
        <v>466.20000000000005</v>
      </c>
      <c r="O169" s="5">
        <v>469.89</v>
      </c>
      <c r="P169" s="5">
        <v>256.70004799999998</v>
      </c>
      <c r="Q169" s="5">
        <v>275.10006199999998</v>
      </c>
      <c r="R169" s="5">
        <v>891.30008699999996</v>
      </c>
      <c r="S169" s="5">
        <v>662.99997599999995</v>
      </c>
      <c r="T169" s="5">
        <v>436.09999999999997</v>
      </c>
      <c r="U169" s="22">
        <f>71*2.323944</f>
        <v>165.000024</v>
      </c>
      <c r="V169" s="22">
        <f>57*2.214035</f>
        <v>126.199995</v>
      </c>
      <c r="W169" s="22">
        <f>40*2.3875</f>
        <v>95.5</v>
      </c>
    </row>
    <row r="170" spans="1:23">
      <c r="A170" s="11">
        <v>771</v>
      </c>
      <c r="B170" s="5" t="s">
        <v>163</v>
      </c>
      <c r="C170" s="5">
        <f>18*2.3</f>
        <v>41.4</v>
      </c>
      <c r="D170" s="5">
        <v>77.316000000000003</v>
      </c>
      <c r="E170" s="5">
        <v>79.55</v>
      </c>
      <c r="F170" s="5">
        <v>65.88</v>
      </c>
      <c r="G170" s="5">
        <v>71.92</v>
      </c>
      <c r="H170" s="5">
        <v>105.61</v>
      </c>
      <c r="I170" s="5">
        <v>40.4</v>
      </c>
      <c r="J170" s="5">
        <v>101.22</v>
      </c>
      <c r="K170" s="5">
        <v>66.98</v>
      </c>
      <c r="L170" s="5">
        <v>68.2</v>
      </c>
      <c r="M170" s="5">
        <v>65.25</v>
      </c>
      <c r="N170" s="5">
        <v>51.800000000000004</v>
      </c>
      <c r="O170" s="5">
        <v>60</v>
      </c>
      <c r="P170" s="5">
        <v>36.799991999999996</v>
      </c>
      <c r="Q170" s="5">
        <v>34.500004000000004</v>
      </c>
      <c r="R170" s="5">
        <v>92.099992999999998</v>
      </c>
      <c r="S170" s="5">
        <v>46.600000999999999</v>
      </c>
      <c r="T170" s="5">
        <v>79.700010000000006</v>
      </c>
      <c r="U170" s="22">
        <f>7*2.171429</f>
        <v>15.200002999999999</v>
      </c>
      <c r="V170" s="22">
        <f>9*2.011111</f>
        <v>18.099999</v>
      </c>
      <c r="W170" s="22">
        <f>6*2.95</f>
        <v>17.700000000000003</v>
      </c>
    </row>
    <row r="171" spans="1:23">
      <c r="A171" s="11">
        <v>775</v>
      </c>
      <c r="B171" s="5" t="s">
        <v>164</v>
      </c>
      <c r="C171" s="5">
        <f>9*2.666667</f>
        <v>24.000003</v>
      </c>
      <c r="D171" s="5">
        <v>33.405000000000001</v>
      </c>
      <c r="E171" s="5">
        <v>38.08</v>
      </c>
      <c r="F171" s="5">
        <v>26.74</v>
      </c>
      <c r="G171" s="5">
        <v>130.51999999999998</v>
      </c>
      <c r="H171" s="5">
        <v>110</v>
      </c>
      <c r="I171" s="5">
        <v>94.62</v>
      </c>
      <c r="J171" s="5">
        <v>123.83999999999999</v>
      </c>
      <c r="K171" s="5">
        <v>77.14</v>
      </c>
      <c r="L171" s="5">
        <v>58.589999999999996</v>
      </c>
      <c r="M171" s="5">
        <v>50.61</v>
      </c>
      <c r="N171" s="5">
        <v>73.8</v>
      </c>
      <c r="O171" s="5">
        <v>66.41</v>
      </c>
      <c r="P171" s="5">
        <v>39.700008000000004</v>
      </c>
      <c r="Q171" s="5">
        <v>35.199995999999999</v>
      </c>
      <c r="R171" s="5">
        <v>97.100015999999997</v>
      </c>
      <c r="S171" s="5">
        <v>87.999983999999998</v>
      </c>
      <c r="T171" s="5">
        <v>124.20001000000001</v>
      </c>
      <c r="U171" s="22">
        <f>15*2.7</f>
        <v>40.5</v>
      </c>
      <c r="V171" s="22">
        <f>18*1.7</f>
        <v>30.599999999999998</v>
      </c>
      <c r="W171" s="22">
        <f>6*1.983333</f>
        <v>11.899998</v>
      </c>
    </row>
    <row r="172" spans="1:23">
      <c r="A172" s="11">
        <v>780</v>
      </c>
      <c r="B172" s="5" t="s">
        <v>165</v>
      </c>
      <c r="C172" s="5">
        <f>15*2.133333</f>
        <v>31.999994999999998</v>
      </c>
      <c r="D172" s="5">
        <v>81.113</v>
      </c>
      <c r="E172" s="5">
        <v>60.480000000000004</v>
      </c>
      <c r="F172" s="5">
        <v>26.9</v>
      </c>
      <c r="G172" s="5">
        <v>66.92</v>
      </c>
      <c r="H172" s="5">
        <v>69.760000000000005</v>
      </c>
      <c r="I172" s="5">
        <v>46</v>
      </c>
      <c r="J172" s="5">
        <v>89.539999999999992</v>
      </c>
      <c r="K172" s="5">
        <v>93.2</v>
      </c>
      <c r="L172" s="5">
        <v>90.28</v>
      </c>
      <c r="M172" s="5">
        <v>99.45</v>
      </c>
      <c r="N172" s="5">
        <v>98.419999999999987</v>
      </c>
      <c r="O172" s="5">
        <v>118.72000000000001</v>
      </c>
      <c r="P172" s="5">
        <v>36.9</v>
      </c>
      <c r="Q172" s="5">
        <v>48.200001</v>
      </c>
      <c r="R172" s="5">
        <v>264.100032</v>
      </c>
      <c r="S172" s="5">
        <v>140.69999000000001</v>
      </c>
      <c r="T172" s="5">
        <v>59.499996000000003</v>
      </c>
      <c r="U172" s="22">
        <f>5.6</f>
        <v>5.6</v>
      </c>
      <c r="V172" s="22">
        <f>2*2.65</f>
        <v>5.3</v>
      </c>
      <c r="W172" s="22">
        <f>4*1.675</f>
        <v>6.7</v>
      </c>
    </row>
    <row r="173" spans="1:23">
      <c r="A173" s="11">
        <v>781</v>
      </c>
      <c r="B173" s="5" t="s">
        <v>166</v>
      </c>
      <c r="C173" s="5">
        <f>2*2.65</f>
        <v>5.3</v>
      </c>
      <c r="D173" s="5">
        <v>25.695999999999998</v>
      </c>
      <c r="E173" s="5">
        <v>8.1000000000000014</v>
      </c>
      <c r="F173" s="5">
        <v>3.4</v>
      </c>
      <c r="G173" s="5">
        <v>2.8</v>
      </c>
      <c r="H173" s="5">
        <v>0</v>
      </c>
      <c r="I173" s="5">
        <v>0</v>
      </c>
      <c r="J173" s="5">
        <v>3.2</v>
      </c>
      <c r="K173" s="5">
        <v>5.8</v>
      </c>
      <c r="L173" s="5">
        <v>5.8</v>
      </c>
      <c r="M173" s="5">
        <v>0</v>
      </c>
      <c r="N173" s="5">
        <v>6.2</v>
      </c>
      <c r="O173" s="5">
        <v>3.4</v>
      </c>
      <c r="P173" s="5">
        <v>1</v>
      </c>
      <c r="Q173" s="5">
        <v>4</v>
      </c>
      <c r="R173" s="5">
        <v>3.8</v>
      </c>
      <c r="S173" s="5">
        <v>0.2</v>
      </c>
      <c r="T173" s="5">
        <v>0.8</v>
      </c>
      <c r="U173" s="5">
        <v>0</v>
      </c>
      <c r="V173" s="5">
        <v>0</v>
      </c>
      <c r="W173" s="5">
        <v>0</v>
      </c>
    </row>
    <row r="174" spans="1:23">
      <c r="A174" s="11">
        <v>790</v>
      </c>
      <c r="B174" s="5" t="s">
        <v>167</v>
      </c>
      <c r="C174" s="5">
        <f>13*1.184615</f>
        <v>15.399995000000001</v>
      </c>
      <c r="D174" s="5">
        <v>36.003</v>
      </c>
      <c r="E174" s="5">
        <v>26.299999999999997</v>
      </c>
      <c r="F174" s="5">
        <v>38.880000000000003</v>
      </c>
      <c r="G174" s="5">
        <v>23.31</v>
      </c>
      <c r="H174" s="5">
        <v>41.22</v>
      </c>
      <c r="I174" s="5">
        <v>72.319999999999993</v>
      </c>
      <c r="J174" s="5">
        <v>24.83</v>
      </c>
      <c r="K174" s="5">
        <v>48</v>
      </c>
      <c r="L174" s="5">
        <v>30.939999999999998</v>
      </c>
      <c r="M174" s="5">
        <v>41.040000000000006</v>
      </c>
      <c r="N174" s="5">
        <v>55.68</v>
      </c>
      <c r="O174" s="5">
        <v>81.03</v>
      </c>
      <c r="P174" s="5">
        <v>1.9</v>
      </c>
      <c r="Q174" s="5">
        <v>28.999997999999998</v>
      </c>
      <c r="R174" s="5">
        <v>72.199998000000008</v>
      </c>
      <c r="S174" s="5">
        <v>15.699998999999998</v>
      </c>
      <c r="T174" s="5">
        <v>12.1</v>
      </c>
      <c r="U174" s="5">
        <v>1.9</v>
      </c>
      <c r="V174" s="22">
        <f>2*4.75</f>
        <v>9.5</v>
      </c>
      <c r="W174" s="5">
        <v>3</v>
      </c>
    </row>
    <row r="175" spans="1:23">
      <c r="A175" s="11">
        <v>800</v>
      </c>
      <c r="B175" s="5" t="s">
        <v>168</v>
      </c>
      <c r="C175" s="5">
        <f>78*2.389744</f>
        <v>186.40003199999998</v>
      </c>
      <c r="D175" s="5">
        <v>200.161</v>
      </c>
      <c r="E175" s="5">
        <v>167.04999999999998</v>
      </c>
      <c r="F175" s="5">
        <v>195.2</v>
      </c>
      <c r="G175" s="5">
        <v>302.26</v>
      </c>
      <c r="H175" s="5">
        <v>297.65999999999997</v>
      </c>
      <c r="I175" s="5">
        <v>348.16</v>
      </c>
      <c r="J175" s="5">
        <v>360.58</v>
      </c>
      <c r="K175" s="5">
        <v>239.76000000000002</v>
      </c>
      <c r="L175" s="5">
        <v>219.21999999999997</v>
      </c>
      <c r="M175" s="5">
        <v>181.6</v>
      </c>
      <c r="N175" s="5">
        <v>213.20999999999998</v>
      </c>
      <c r="O175" s="5">
        <v>210.70000000000002</v>
      </c>
      <c r="P175" s="5">
        <v>134.89998900000001</v>
      </c>
      <c r="Q175" s="5">
        <v>82.399999000000008</v>
      </c>
      <c r="R175" s="5">
        <v>372.10007099999996</v>
      </c>
      <c r="S175" s="5">
        <v>176.8</v>
      </c>
      <c r="T175" s="5">
        <v>79.899987999999993</v>
      </c>
      <c r="U175" s="22">
        <f>22*1.959091</f>
        <v>43.100001999999996</v>
      </c>
      <c r="V175" s="22">
        <f>17*2.317647</f>
        <v>39.399999000000001</v>
      </c>
      <c r="W175" s="22">
        <f>7*2.371429</f>
        <v>16.600003000000001</v>
      </c>
    </row>
    <row r="176" spans="1:23">
      <c r="A176" s="11">
        <v>811</v>
      </c>
      <c r="B176" s="5" t="s">
        <v>169</v>
      </c>
      <c r="C176" s="5">
        <f>45*1.8533333</f>
        <v>83.399998500000009</v>
      </c>
      <c r="D176" s="5">
        <v>86.509999999999991</v>
      </c>
      <c r="E176" s="5">
        <v>142.01999999999998</v>
      </c>
      <c r="F176" s="5">
        <v>110.86000000000001</v>
      </c>
      <c r="G176" s="5">
        <v>177.12</v>
      </c>
      <c r="H176" s="5">
        <v>202.54000000000002</v>
      </c>
      <c r="I176" s="5">
        <v>153.11999999999998</v>
      </c>
      <c r="J176" s="5">
        <v>167.20000000000002</v>
      </c>
      <c r="K176" s="5">
        <v>80.64</v>
      </c>
      <c r="L176" s="5">
        <v>112.80000000000001</v>
      </c>
      <c r="M176" s="5">
        <v>63</v>
      </c>
      <c r="N176" s="5">
        <v>66.040000000000006</v>
      </c>
      <c r="O176" s="5">
        <v>52.36</v>
      </c>
      <c r="P176" s="5">
        <v>41.3</v>
      </c>
      <c r="Q176" s="5">
        <v>8</v>
      </c>
      <c r="R176" s="5">
        <v>145.600021</v>
      </c>
      <c r="S176" s="5">
        <v>33.200004</v>
      </c>
      <c r="T176" s="5">
        <v>36.899996000000002</v>
      </c>
      <c r="U176" s="22">
        <f>9*2.155556</f>
        <v>19.400003999999999</v>
      </c>
      <c r="V176" s="5">
        <v>20.8</v>
      </c>
      <c r="W176" s="22">
        <f>4*2.55</f>
        <v>10.199999999999999</v>
      </c>
    </row>
    <row r="177" spans="1:23">
      <c r="A177" s="11">
        <v>812</v>
      </c>
      <c r="B177" s="5" t="s">
        <v>170</v>
      </c>
      <c r="C177" s="5">
        <v>23</v>
      </c>
      <c r="D177" s="5">
        <v>14.399999999999999</v>
      </c>
      <c r="E177" s="5">
        <v>19.12</v>
      </c>
      <c r="F177" s="5">
        <v>25.299999999999997</v>
      </c>
      <c r="G177" s="5">
        <v>37.44</v>
      </c>
      <c r="H177" s="5">
        <v>49.400000000000006</v>
      </c>
      <c r="I177" s="5">
        <v>15.729999999999999</v>
      </c>
      <c r="J177" s="5">
        <v>18.689999999999998</v>
      </c>
      <c r="K177" s="5">
        <v>4.5999999999999996</v>
      </c>
      <c r="L177" s="5">
        <v>16.8</v>
      </c>
      <c r="M177" s="5">
        <v>32.200000000000003</v>
      </c>
      <c r="N177" s="5">
        <v>34.799999999999997</v>
      </c>
      <c r="O177" s="5">
        <v>12.1</v>
      </c>
      <c r="P177" s="5">
        <v>10</v>
      </c>
      <c r="Q177" s="5">
        <v>0</v>
      </c>
      <c r="R177" s="5">
        <v>34.700004</v>
      </c>
      <c r="S177" s="5">
        <v>2.8</v>
      </c>
      <c r="T177" s="5">
        <v>1</v>
      </c>
      <c r="U177" s="5">
        <v>2.8</v>
      </c>
      <c r="V177" s="5">
        <v>1</v>
      </c>
      <c r="W177" s="5">
        <v>3</v>
      </c>
    </row>
    <row r="178" spans="1:23">
      <c r="A178" s="11">
        <v>816</v>
      </c>
      <c r="B178" s="5" t="s">
        <v>171</v>
      </c>
      <c r="C178" s="5">
        <f>84*2.296429</f>
        <v>192.900036</v>
      </c>
      <c r="D178" s="5">
        <v>288.91800000000001</v>
      </c>
      <c r="E178" s="5">
        <v>418.16999999999996</v>
      </c>
      <c r="F178" s="5">
        <v>393.59999999999997</v>
      </c>
      <c r="G178" s="5">
        <v>456.45</v>
      </c>
      <c r="H178" s="5">
        <v>407.29</v>
      </c>
      <c r="I178" s="5">
        <v>256.62</v>
      </c>
      <c r="J178" s="5">
        <v>246.71999999999997</v>
      </c>
      <c r="K178" s="5">
        <v>139.85999999999999</v>
      </c>
      <c r="L178" s="5">
        <v>176.8</v>
      </c>
      <c r="M178" s="5">
        <v>213.15</v>
      </c>
      <c r="N178" s="5">
        <v>240.72</v>
      </c>
      <c r="O178" s="5">
        <v>118.72000000000001</v>
      </c>
      <c r="P178" s="5">
        <v>76.199994000000004</v>
      </c>
      <c r="Q178" s="5">
        <v>55.899995000000004</v>
      </c>
      <c r="R178" s="5">
        <v>188.60002600000001</v>
      </c>
      <c r="S178" s="5">
        <v>210.69998400000003</v>
      </c>
      <c r="T178" s="5">
        <v>109.99997999999999</v>
      </c>
      <c r="U178" s="22">
        <f>6*2.583333</f>
        <v>15.499998000000001</v>
      </c>
      <c r="V178" s="22">
        <f>12*2.575</f>
        <v>30.900000000000002</v>
      </c>
      <c r="W178" s="22">
        <f>12*2.058333</f>
        <v>24.699996000000002</v>
      </c>
    </row>
    <row r="179" spans="1:23">
      <c r="A179" s="11">
        <v>820</v>
      </c>
      <c r="B179" s="5" t="s">
        <v>172</v>
      </c>
      <c r="C179" s="5">
        <f>61*2.677049</f>
        <v>163.29998899999998</v>
      </c>
      <c r="D179" s="5">
        <v>305.49</v>
      </c>
      <c r="E179" s="5">
        <v>314.58</v>
      </c>
      <c r="F179" s="5">
        <v>411.92</v>
      </c>
      <c r="G179" s="5">
        <v>597.64</v>
      </c>
      <c r="H179" s="5">
        <v>439.42</v>
      </c>
      <c r="I179" s="5">
        <v>435.75000000000006</v>
      </c>
      <c r="J179" s="5">
        <v>369.6</v>
      </c>
      <c r="K179" s="5">
        <v>352.5</v>
      </c>
      <c r="L179" s="5">
        <v>252.72000000000003</v>
      </c>
      <c r="M179" s="5">
        <v>287.91999999999996</v>
      </c>
      <c r="N179" s="5">
        <v>284.16000000000003</v>
      </c>
      <c r="O179" s="5">
        <v>259.20000000000005</v>
      </c>
      <c r="P179" s="5">
        <v>111.29999600000001</v>
      </c>
      <c r="Q179" s="5">
        <v>78.199991999999995</v>
      </c>
      <c r="R179" s="5">
        <v>269.00002000000001</v>
      </c>
      <c r="S179" s="5">
        <v>263.29997500000002</v>
      </c>
      <c r="T179" s="5">
        <v>167.60003399999999</v>
      </c>
      <c r="U179" s="22">
        <f>20*2.735</f>
        <v>54.699999999999996</v>
      </c>
      <c r="V179" s="22">
        <f>12*2.641667</f>
        <v>31.700004</v>
      </c>
      <c r="W179" s="22">
        <f>8*2.05</f>
        <v>16.399999999999999</v>
      </c>
    </row>
    <row r="180" spans="1:23">
      <c r="A180" s="11">
        <v>830</v>
      </c>
      <c r="B180" s="5" t="s">
        <v>173</v>
      </c>
      <c r="C180" s="5">
        <f>52*2.511538</f>
        <v>130.599976</v>
      </c>
      <c r="D180" s="5">
        <v>206</v>
      </c>
      <c r="E180" s="5">
        <v>216.82000000000002</v>
      </c>
      <c r="F180" s="5">
        <v>242.88000000000002</v>
      </c>
      <c r="G180" s="5">
        <v>390.24</v>
      </c>
      <c r="H180" s="5">
        <v>459.82</v>
      </c>
      <c r="I180" s="5">
        <v>335.79</v>
      </c>
      <c r="J180" s="5">
        <v>407.55</v>
      </c>
      <c r="K180" s="5">
        <v>349.02</v>
      </c>
      <c r="L180" s="5">
        <v>304.44</v>
      </c>
      <c r="M180" s="5">
        <v>258.94</v>
      </c>
      <c r="N180" s="5">
        <v>272.55</v>
      </c>
      <c r="O180" s="5">
        <v>250.88</v>
      </c>
      <c r="P180" s="5">
        <v>80.100004999999996</v>
      </c>
      <c r="Q180" s="5">
        <v>73.600003999999998</v>
      </c>
      <c r="R180" s="5">
        <v>266.40002400000003</v>
      </c>
      <c r="S180" s="5">
        <v>116.499988</v>
      </c>
      <c r="T180" s="5">
        <v>169.39997799999998</v>
      </c>
      <c r="U180" s="22">
        <f>16*2.4875</f>
        <v>39.799999999999997</v>
      </c>
      <c r="V180" s="22">
        <f>18*2.627778</f>
        <v>47.300004000000001</v>
      </c>
      <c r="W180" s="22">
        <f>7*3.128571</f>
        <v>21.899996999999999</v>
      </c>
    </row>
    <row r="181" spans="1:23">
      <c r="A181" s="11">
        <v>835</v>
      </c>
      <c r="B181" s="5" t="s">
        <v>174</v>
      </c>
      <c r="C181" s="5">
        <f>4*4.15</f>
        <v>16.600000000000001</v>
      </c>
      <c r="D181" s="5">
        <v>21.704000000000001</v>
      </c>
      <c r="E181" s="5">
        <v>23.94</v>
      </c>
      <c r="F181" s="5">
        <v>25</v>
      </c>
      <c r="G181" s="5">
        <v>34.950000000000003</v>
      </c>
      <c r="H181" s="5">
        <v>15.18</v>
      </c>
      <c r="I181" s="5">
        <v>25.830000000000002</v>
      </c>
      <c r="J181" s="5">
        <v>35.04</v>
      </c>
      <c r="K181" s="5">
        <v>14.28</v>
      </c>
      <c r="L181" s="5">
        <v>17.28</v>
      </c>
      <c r="M181" s="5">
        <v>22.5</v>
      </c>
      <c r="N181" s="5">
        <v>9.4</v>
      </c>
      <c r="O181" s="5">
        <v>4.8000000000000007</v>
      </c>
      <c r="P181" s="5">
        <v>10</v>
      </c>
      <c r="Q181" s="5">
        <v>0</v>
      </c>
      <c r="R181" s="5">
        <v>22.5</v>
      </c>
      <c r="S181" s="5">
        <v>13.3</v>
      </c>
      <c r="T181" s="5">
        <v>6</v>
      </c>
      <c r="U181" s="5">
        <v>1</v>
      </c>
      <c r="V181" s="5">
        <v>0</v>
      </c>
      <c r="W181" s="5">
        <v>0</v>
      </c>
    </row>
    <row r="182" spans="1:23">
      <c r="A182" s="11">
        <v>840</v>
      </c>
      <c r="B182" s="5" t="s">
        <v>175</v>
      </c>
      <c r="C182" s="5">
        <f>73*1.982192</f>
        <v>144.70001600000001</v>
      </c>
      <c r="D182" s="5">
        <v>228.43799999999999</v>
      </c>
      <c r="E182" s="5">
        <v>242.24999999999997</v>
      </c>
      <c r="F182" s="5">
        <v>229.69</v>
      </c>
      <c r="G182" s="5">
        <v>312.18</v>
      </c>
      <c r="H182" s="5">
        <v>464.1</v>
      </c>
      <c r="I182" s="5">
        <v>366.96000000000004</v>
      </c>
      <c r="J182" s="5">
        <v>359.79999999999995</v>
      </c>
      <c r="K182" s="5">
        <v>216.20000000000002</v>
      </c>
      <c r="L182" s="5">
        <v>195.58</v>
      </c>
      <c r="M182" s="5">
        <v>155.44</v>
      </c>
      <c r="N182" s="5">
        <v>200.9</v>
      </c>
      <c r="O182" s="5">
        <v>229.32</v>
      </c>
      <c r="P182" s="5">
        <v>77.000001000000012</v>
      </c>
      <c r="Q182" s="5">
        <v>59.099992000000007</v>
      </c>
      <c r="R182" s="5">
        <v>152.99999399999999</v>
      </c>
      <c r="S182" s="5">
        <v>166.400002</v>
      </c>
      <c r="T182" s="5">
        <v>107.80002</v>
      </c>
      <c r="U182" s="22">
        <f>7*1.871429</f>
        <v>13.100003000000001</v>
      </c>
      <c r="V182" s="22">
        <f>8*2.8625</f>
        <v>22.9</v>
      </c>
      <c r="W182" s="22">
        <f>7*1.914286</f>
        <v>13.400001999999999</v>
      </c>
    </row>
    <row r="183" spans="1:23">
      <c r="A183" s="11">
        <v>850</v>
      </c>
      <c r="B183" s="5" t="s">
        <v>176</v>
      </c>
      <c r="C183" s="5">
        <f>88*2.397727</f>
        <v>210.999976</v>
      </c>
      <c r="D183" s="5">
        <v>207.86199999999999</v>
      </c>
      <c r="E183" s="5">
        <v>142.08000000000001</v>
      </c>
      <c r="F183" s="5">
        <v>262.64999999999998</v>
      </c>
      <c r="G183" s="5">
        <v>487.2</v>
      </c>
      <c r="H183" s="5">
        <v>547.31000000000006</v>
      </c>
      <c r="I183" s="5">
        <v>432.4</v>
      </c>
      <c r="J183" s="5">
        <v>364.08000000000004</v>
      </c>
      <c r="K183" s="5">
        <v>398.72</v>
      </c>
      <c r="L183" s="5">
        <v>425.79</v>
      </c>
      <c r="M183" s="5">
        <v>253.11999999999998</v>
      </c>
      <c r="N183" s="5">
        <v>349.81200000000001</v>
      </c>
      <c r="O183" s="5">
        <v>311.36</v>
      </c>
      <c r="P183" s="5">
        <v>140.80002300000001</v>
      </c>
      <c r="Q183" s="5">
        <v>75.899985000000001</v>
      </c>
      <c r="R183" s="5">
        <v>520.30003199999999</v>
      </c>
      <c r="S183" s="5">
        <v>319.19995799999998</v>
      </c>
      <c r="T183" s="5">
        <v>200.50002499999999</v>
      </c>
      <c r="U183" s="22">
        <v>62.2</v>
      </c>
      <c r="V183" s="22">
        <v>39.299999999999997</v>
      </c>
      <c r="W183" s="22">
        <f>18*2.688889</f>
        <v>48.400002000000001</v>
      </c>
    </row>
    <row r="184" spans="1:23">
      <c r="A184" s="11">
        <v>900</v>
      </c>
      <c r="B184" s="5" t="s">
        <v>177</v>
      </c>
      <c r="C184" s="5">
        <f>103*2.770874</f>
        <v>285.40002199999998</v>
      </c>
      <c r="D184" s="5">
        <v>272.68</v>
      </c>
      <c r="E184" s="5">
        <v>340.38</v>
      </c>
      <c r="F184" s="5">
        <v>374.40000000000003</v>
      </c>
      <c r="G184" s="5">
        <v>535.6</v>
      </c>
      <c r="H184" s="5">
        <v>736.82</v>
      </c>
      <c r="I184" s="5">
        <v>698.56</v>
      </c>
      <c r="J184" s="5">
        <v>757.76</v>
      </c>
      <c r="K184" s="5">
        <v>556.85</v>
      </c>
      <c r="L184" s="5">
        <v>565.95000000000005</v>
      </c>
      <c r="M184" s="5">
        <v>579.6</v>
      </c>
      <c r="N184" s="5">
        <v>635.04</v>
      </c>
      <c r="O184" s="5">
        <v>469.86</v>
      </c>
      <c r="P184" s="5">
        <v>470.399967</v>
      </c>
      <c r="Q184" s="5">
        <v>306.800028</v>
      </c>
      <c r="R184" s="5">
        <v>658.29990399999997</v>
      </c>
      <c r="S184" s="5">
        <v>593.49995999999999</v>
      </c>
      <c r="T184" s="5">
        <v>462.20006699999999</v>
      </c>
      <c r="U184" s="22">
        <f>51*2.533333</f>
        <v>129.199983</v>
      </c>
      <c r="V184" s="22">
        <f>63*2.284127</f>
        <v>143.90000099999997</v>
      </c>
      <c r="W184" s="22">
        <f>38*2.486842</f>
        <v>94.49999600000001</v>
      </c>
    </row>
    <row r="185" spans="1:23">
      <c r="A185" s="11">
        <v>910</v>
      </c>
      <c r="B185" s="5" t="s">
        <v>178</v>
      </c>
      <c r="C185" s="5">
        <f>4*1.925</f>
        <v>7.7</v>
      </c>
      <c r="D185" s="5">
        <v>16.298999999999999</v>
      </c>
      <c r="E185" s="5">
        <v>14.100000000000001</v>
      </c>
      <c r="F185" s="5">
        <v>3.2</v>
      </c>
      <c r="G185" s="5">
        <v>13.98</v>
      </c>
      <c r="H185" s="5">
        <v>3.1</v>
      </c>
      <c r="I185" s="5">
        <v>3.2</v>
      </c>
      <c r="J185" s="5">
        <v>25.92</v>
      </c>
      <c r="K185" s="5">
        <v>16.32</v>
      </c>
      <c r="L185" s="5">
        <v>21.12</v>
      </c>
      <c r="M185" s="5">
        <v>10.9</v>
      </c>
      <c r="N185" s="5">
        <v>6.8999999999999995</v>
      </c>
      <c r="O185" s="5">
        <v>3</v>
      </c>
      <c r="P185" s="5">
        <v>0</v>
      </c>
      <c r="Q185" s="5">
        <v>6</v>
      </c>
      <c r="R185" s="5">
        <v>1.9</v>
      </c>
      <c r="S185" s="5">
        <v>14.5</v>
      </c>
      <c r="T185" s="5">
        <v>4.8</v>
      </c>
      <c r="U185" s="22">
        <v>9.4</v>
      </c>
      <c r="V185" s="5">
        <v>0</v>
      </c>
      <c r="W185" s="5">
        <v>3.4</v>
      </c>
    </row>
    <row r="186" spans="1:23">
      <c r="A186" s="11">
        <v>920</v>
      </c>
      <c r="B186" s="5" t="s">
        <v>179</v>
      </c>
      <c r="C186" s="5">
        <f>53*2.101887</f>
        <v>111.40001100000001</v>
      </c>
      <c r="D186" s="5">
        <v>77.418000000000006</v>
      </c>
      <c r="E186" s="5">
        <v>89.28</v>
      </c>
      <c r="F186" s="5">
        <v>104.52000000000001</v>
      </c>
      <c r="G186" s="5">
        <v>143.1</v>
      </c>
      <c r="H186" s="5">
        <v>158.45999999999998</v>
      </c>
      <c r="I186" s="5">
        <v>143.07</v>
      </c>
      <c r="J186" s="5">
        <v>182.16</v>
      </c>
      <c r="K186" s="5">
        <v>152.75</v>
      </c>
      <c r="L186" s="5">
        <v>143.26000000000002</v>
      </c>
      <c r="M186" s="5">
        <v>179.63</v>
      </c>
      <c r="N186" s="5">
        <v>162</v>
      </c>
      <c r="O186" s="5">
        <v>126.42999999999999</v>
      </c>
      <c r="P186" s="5">
        <v>57.299989999999994</v>
      </c>
      <c r="Q186" s="5">
        <v>49.1</v>
      </c>
      <c r="R186" s="5">
        <v>103.89999599999999</v>
      </c>
      <c r="S186" s="5">
        <v>54.1</v>
      </c>
      <c r="T186" s="5">
        <v>27.499991999999999</v>
      </c>
      <c r="U186" s="22">
        <f>8*2.75</f>
        <v>22</v>
      </c>
      <c r="V186" s="22">
        <f>5*2.12</f>
        <v>10.600000000000001</v>
      </c>
      <c r="W186" s="22">
        <f>5*2.1</f>
        <v>10.5</v>
      </c>
    </row>
    <row r="187" spans="1:23">
      <c r="A187" s="11">
        <v>935</v>
      </c>
      <c r="B187" s="5" t="s">
        <v>180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6.6000000000000005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</row>
    <row r="188" spans="1:23">
      <c r="A188" s="11">
        <v>940</v>
      </c>
      <c r="B188" s="5" t="s">
        <v>181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2.5</v>
      </c>
      <c r="I188" s="5">
        <v>0</v>
      </c>
      <c r="J188" s="5">
        <v>1.9</v>
      </c>
      <c r="K188" s="5">
        <v>0</v>
      </c>
      <c r="L188" s="5">
        <v>2.8</v>
      </c>
      <c r="M188" s="5">
        <v>22.32</v>
      </c>
      <c r="N188" s="5">
        <v>0</v>
      </c>
      <c r="O188" s="5">
        <v>5.6</v>
      </c>
      <c r="P188" s="5">
        <v>17</v>
      </c>
      <c r="Q188" s="5">
        <v>0</v>
      </c>
      <c r="R188" s="5">
        <v>0</v>
      </c>
      <c r="S188" s="5">
        <v>8.3999999999999986</v>
      </c>
      <c r="T188" s="5">
        <v>0</v>
      </c>
      <c r="U188" s="5">
        <v>0</v>
      </c>
      <c r="V188" s="5">
        <v>0</v>
      </c>
      <c r="W188" s="5">
        <v>0</v>
      </c>
    </row>
    <row r="189" spans="1:23">
      <c r="A189" s="11">
        <v>946</v>
      </c>
      <c r="B189" s="5" t="s">
        <v>182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</row>
    <row r="190" spans="1:23">
      <c r="A190" s="11">
        <v>947</v>
      </c>
      <c r="B190" s="5" t="s">
        <v>183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3.4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</row>
    <row r="191" spans="1:23">
      <c r="A191" s="11">
        <v>950</v>
      </c>
      <c r="B191" s="5" t="s">
        <v>184</v>
      </c>
      <c r="C191" s="5">
        <f>4*2.4</f>
        <v>9.6</v>
      </c>
      <c r="D191" s="5">
        <v>11.799999999999999</v>
      </c>
      <c r="E191" s="5">
        <v>15.12</v>
      </c>
      <c r="F191" s="5">
        <v>0</v>
      </c>
      <c r="G191" s="5">
        <v>6.8999999999999995</v>
      </c>
      <c r="H191" s="5">
        <v>6.6899999999999995</v>
      </c>
      <c r="I191" s="5">
        <v>4.9000000000000004</v>
      </c>
      <c r="J191" s="5">
        <v>4.5</v>
      </c>
      <c r="K191" s="5">
        <v>0</v>
      </c>
      <c r="L191" s="5">
        <v>7.92</v>
      </c>
      <c r="M191" s="5">
        <v>24.72</v>
      </c>
      <c r="N191" s="5">
        <v>1</v>
      </c>
      <c r="O191" s="5">
        <v>1</v>
      </c>
      <c r="P191" s="5">
        <v>12.9</v>
      </c>
      <c r="Q191" s="5">
        <v>0</v>
      </c>
      <c r="R191" s="5">
        <v>18.799997999999999</v>
      </c>
      <c r="S191" s="5">
        <v>25.300001999999999</v>
      </c>
      <c r="T191" s="5">
        <v>11.000000999999999</v>
      </c>
      <c r="U191" s="5">
        <v>0</v>
      </c>
      <c r="V191" s="5">
        <v>0</v>
      </c>
      <c r="W191" s="5">
        <v>0</v>
      </c>
    </row>
    <row r="192" spans="1:23">
      <c r="A192" s="11">
        <v>955</v>
      </c>
      <c r="B192" s="5" t="s">
        <v>185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3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2.8</v>
      </c>
      <c r="P192" s="5">
        <v>0</v>
      </c>
      <c r="Q192" s="5">
        <v>0</v>
      </c>
      <c r="R192" s="5">
        <v>0</v>
      </c>
      <c r="S192" s="5">
        <v>0</v>
      </c>
      <c r="T192" s="5">
        <v>2.8</v>
      </c>
      <c r="U192" s="5">
        <v>0</v>
      </c>
      <c r="V192" s="5">
        <v>0</v>
      </c>
      <c r="W192" s="5">
        <v>0</v>
      </c>
    </row>
    <row r="193" spans="1:23">
      <c r="A193" s="11">
        <v>970</v>
      </c>
      <c r="B193" s="5" t="s">
        <v>186</v>
      </c>
      <c r="C193" s="5">
        <v>0</v>
      </c>
      <c r="D193" s="5">
        <v>0</v>
      </c>
      <c r="E193" s="5">
        <v>0</v>
      </c>
      <c r="F193" s="5">
        <v>3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10.4</v>
      </c>
      <c r="O193" s="5">
        <v>5.4</v>
      </c>
      <c r="P193" s="5">
        <v>0</v>
      </c>
      <c r="Q193" s="5">
        <v>0</v>
      </c>
      <c r="R193" s="5">
        <v>2.8</v>
      </c>
      <c r="S193" s="5">
        <v>0</v>
      </c>
      <c r="T193" s="5">
        <v>2.8</v>
      </c>
      <c r="U193" s="5">
        <v>0</v>
      </c>
      <c r="V193" s="5">
        <v>5.4</v>
      </c>
      <c r="W193" s="5">
        <v>0</v>
      </c>
    </row>
    <row r="194" spans="1:23">
      <c r="A194" s="11">
        <v>983</v>
      </c>
      <c r="B194" s="5" t="s">
        <v>187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</row>
    <row r="195" spans="1:23">
      <c r="A195" s="11">
        <v>986</v>
      </c>
      <c r="B195" s="5" t="s">
        <v>188</v>
      </c>
      <c r="C195" s="5">
        <v>1.6</v>
      </c>
      <c r="D195" s="5">
        <v>1.9</v>
      </c>
      <c r="E195" s="5">
        <v>0</v>
      </c>
      <c r="F195" s="5">
        <v>2.8</v>
      </c>
      <c r="G195" s="5">
        <v>0</v>
      </c>
      <c r="H195" s="5">
        <v>1.9</v>
      </c>
      <c r="I195" s="5">
        <v>5.4</v>
      </c>
      <c r="J195" s="5">
        <v>3</v>
      </c>
      <c r="K195" s="5">
        <v>0</v>
      </c>
      <c r="L195" s="5">
        <v>3</v>
      </c>
      <c r="M195" s="5">
        <v>0</v>
      </c>
      <c r="N195" s="5">
        <v>0</v>
      </c>
      <c r="O195" s="5">
        <v>4.8</v>
      </c>
      <c r="P195" s="5">
        <v>0</v>
      </c>
      <c r="Q195" s="5">
        <v>0</v>
      </c>
      <c r="R195" s="5">
        <v>2.8</v>
      </c>
      <c r="S195" s="5">
        <v>8.3999999999999986</v>
      </c>
      <c r="T195" s="5">
        <v>0</v>
      </c>
      <c r="U195" s="5">
        <v>0</v>
      </c>
      <c r="V195" s="5">
        <v>0</v>
      </c>
      <c r="W195" s="5">
        <v>0</v>
      </c>
    </row>
    <row r="196" spans="1:23">
      <c r="A196" s="11">
        <v>987</v>
      </c>
      <c r="B196" s="5" t="s">
        <v>189</v>
      </c>
      <c r="C196" s="5">
        <v>0</v>
      </c>
      <c r="D196" s="5">
        <v>0</v>
      </c>
      <c r="E196" s="5">
        <v>3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</row>
    <row r="197" spans="1:23">
      <c r="A197" s="11">
        <v>990</v>
      </c>
      <c r="B197" s="5" t="s">
        <v>190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2.8</v>
      </c>
      <c r="I197" s="5">
        <v>3</v>
      </c>
      <c r="J197" s="5">
        <v>0</v>
      </c>
      <c r="K197" s="5">
        <v>0</v>
      </c>
      <c r="L197" s="5">
        <v>1.9</v>
      </c>
      <c r="M197" s="5">
        <v>3</v>
      </c>
      <c r="N197" s="5">
        <v>0</v>
      </c>
      <c r="O197" s="5">
        <v>0</v>
      </c>
      <c r="P197" s="5">
        <v>1.9</v>
      </c>
      <c r="Q197" s="5">
        <v>0</v>
      </c>
      <c r="R197" s="5">
        <v>3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"/>
  <sheetViews>
    <sheetView topLeftCell="E174" workbookViewId="0">
      <selection activeCell="H208" sqref="H208"/>
    </sheetView>
  </sheetViews>
  <sheetFormatPr defaultRowHeight="15"/>
  <cols>
    <col min="3" max="3" width="9.140625" style="171"/>
  </cols>
  <sheetData>
    <row r="1" spans="1:23" s="9" customFormat="1">
      <c r="A1" s="12" t="s">
        <v>398</v>
      </c>
      <c r="C1" s="171"/>
    </row>
    <row r="2" spans="1:23" s="9" customFormat="1">
      <c r="A2" s="1" t="s">
        <v>399</v>
      </c>
      <c r="C2" s="171"/>
    </row>
    <row r="3" spans="1:23" s="9" customFormat="1">
      <c r="A3" s="9" t="s">
        <v>394</v>
      </c>
      <c r="C3" s="171"/>
    </row>
    <row r="4" spans="1:23" s="9" customFormat="1">
      <c r="A4" s="13" t="s">
        <v>400</v>
      </c>
      <c r="C4" s="171"/>
    </row>
    <row r="5" spans="1:23" s="9" customFormat="1">
      <c r="C5" s="171"/>
    </row>
    <row r="6" spans="1:23">
      <c r="A6" s="11" t="s">
        <v>413</v>
      </c>
      <c r="B6" s="11" t="s">
        <v>192</v>
      </c>
      <c r="C6" s="11">
        <v>1990</v>
      </c>
      <c r="D6" s="4">
        <v>1991</v>
      </c>
      <c r="E6" s="4">
        <v>1992</v>
      </c>
      <c r="F6" s="4">
        <v>1993</v>
      </c>
      <c r="G6" s="4">
        <v>1994</v>
      </c>
      <c r="H6" s="4">
        <v>1995</v>
      </c>
      <c r="I6" s="4">
        <v>1996</v>
      </c>
      <c r="J6" s="4">
        <v>1997</v>
      </c>
      <c r="K6" s="4">
        <v>1998</v>
      </c>
      <c r="L6" s="4">
        <v>1999</v>
      </c>
      <c r="M6" s="4">
        <v>2000</v>
      </c>
      <c r="N6" s="4">
        <v>2001</v>
      </c>
      <c r="O6" s="4">
        <v>2002</v>
      </c>
      <c r="P6" s="4">
        <v>2003</v>
      </c>
      <c r="Q6" s="4">
        <v>2004</v>
      </c>
      <c r="R6" s="4">
        <v>2005</v>
      </c>
      <c r="S6" s="4">
        <v>2006</v>
      </c>
      <c r="T6" s="4">
        <v>2007</v>
      </c>
      <c r="U6" s="11">
        <v>2008</v>
      </c>
      <c r="V6" s="11">
        <v>2009</v>
      </c>
      <c r="W6" s="11">
        <v>2010</v>
      </c>
    </row>
    <row r="7" spans="1:23">
      <c r="A7" s="4">
        <v>2</v>
      </c>
      <c r="B7" s="5" t="s">
        <v>0</v>
      </c>
      <c r="C7" s="5">
        <f>1383*1.528127</f>
        <v>2113.399641</v>
      </c>
      <c r="D7" s="5">
        <v>2604.33</v>
      </c>
      <c r="E7" s="5">
        <v>1742.2</v>
      </c>
      <c r="F7" s="5">
        <v>2446.6400000000003</v>
      </c>
      <c r="G7" s="5">
        <v>2701.26</v>
      </c>
      <c r="H7" s="5">
        <v>2166.92</v>
      </c>
      <c r="I7" s="5">
        <v>2304.8999999999996</v>
      </c>
      <c r="J7" s="5">
        <v>2267.7999999999997</v>
      </c>
      <c r="K7" s="5">
        <v>2855.68</v>
      </c>
      <c r="L7" s="5">
        <v>2541.3500000000004</v>
      </c>
      <c r="M7" s="5">
        <v>2006.3999999999999</v>
      </c>
      <c r="N7" s="5">
        <v>3745.61</v>
      </c>
      <c r="O7" s="5">
        <v>3316.25</v>
      </c>
      <c r="P7" s="5">
        <v>5061.7996519999997</v>
      </c>
      <c r="Q7" s="5">
        <v>3433.799516</v>
      </c>
      <c r="R7" s="5">
        <v>5711.1009450000001</v>
      </c>
      <c r="S7" s="5">
        <v>5454.7004999999999</v>
      </c>
      <c r="T7" s="5">
        <v>5749.6995790000001</v>
      </c>
      <c r="U7">
        <f>720*2.166806</f>
        <v>1560.1003199999998</v>
      </c>
      <c r="V7">
        <f>521*2.178695</f>
        <v>1135.100095</v>
      </c>
      <c r="W7">
        <f>475*1.816</f>
        <v>862.6</v>
      </c>
    </row>
    <row r="8" spans="1:23">
      <c r="A8" s="4">
        <v>20</v>
      </c>
      <c r="B8" s="5" t="s">
        <v>1</v>
      </c>
      <c r="C8" s="5">
        <f>153*0.951634</f>
        <v>145.60000199999999</v>
      </c>
      <c r="D8" s="5">
        <v>194.88</v>
      </c>
      <c r="E8" s="5">
        <v>149.04</v>
      </c>
      <c r="F8" s="5">
        <v>251.43</v>
      </c>
      <c r="G8" s="5">
        <v>246.21</v>
      </c>
      <c r="H8" s="5">
        <v>257.60000000000002</v>
      </c>
      <c r="I8" s="5">
        <v>216.81</v>
      </c>
      <c r="J8" s="5">
        <v>244.4</v>
      </c>
      <c r="K8" s="5">
        <v>137.19999999999999</v>
      </c>
      <c r="L8" s="5">
        <v>144.06</v>
      </c>
      <c r="M8" s="5">
        <v>241.49999999999997</v>
      </c>
      <c r="N8" s="5">
        <v>293.8</v>
      </c>
      <c r="O8" s="5">
        <v>216</v>
      </c>
      <c r="P8" s="5">
        <v>188.10003799999998</v>
      </c>
      <c r="Q8" s="5">
        <v>87.100017999999992</v>
      </c>
      <c r="R8" s="5">
        <v>279.39999999999998</v>
      </c>
      <c r="S8" s="5">
        <v>321.50001099999997</v>
      </c>
      <c r="T8" s="5">
        <v>215.79995399999999</v>
      </c>
      <c r="U8">
        <v>60.4</v>
      </c>
      <c r="V8">
        <f>21*1.857143</f>
        <v>39.000003</v>
      </c>
      <c r="W8" s="5">
        <v>7.7</v>
      </c>
    </row>
    <row r="9" spans="1:23">
      <c r="A9" s="4">
        <v>31</v>
      </c>
      <c r="B9" s="5" t="s">
        <v>2</v>
      </c>
      <c r="C9" s="5">
        <v>1.1000000000000001</v>
      </c>
      <c r="D9" s="5">
        <v>0</v>
      </c>
      <c r="E9" s="5">
        <v>0.2</v>
      </c>
      <c r="F9" s="5">
        <v>0</v>
      </c>
      <c r="G9" s="5">
        <v>0.1</v>
      </c>
      <c r="H9" s="5">
        <v>11.58</v>
      </c>
      <c r="I9" s="5">
        <v>9.6</v>
      </c>
      <c r="J9" s="5">
        <v>14.8</v>
      </c>
      <c r="K9" s="5">
        <v>6.1</v>
      </c>
      <c r="L9" s="5">
        <v>4.5</v>
      </c>
      <c r="M9" s="5">
        <v>0</v>
      </c>
      <c r="N9" s="5">
        <v>0.1</v>
      </c>
      <c r="O9" s="5">
        <v>4.4000000000000004</v>
      </c>
      <c r="P9" s="5">
        <v>0</v>
      </c>
      <c r="Q9" s="5">
        <v>0.1</v>
      </c>
      <c r="R9" s="5">
        <v>0</v>
      </c>
      <c r="S9" s="5">
        <v>0.1</v>
      </c>
      <c r="T9" s="5">
        <v>0</v>
      </c>
      <c r="U9" s="5">
        <v>0</v>
      </c>
      <c r="V9" s="5">
        <v>0</v>
      </c>
      <c r="W9" s="5">
        <v>0</v>
      </c>
    </row>
    <row r="10" spans="1:23">
      <c r="A10" s="4">
        <v>40</v>
      </c>
      <c r="B10" s="5" t="s">
        <v>3</v>
      </c>
      <c r="C10" s="5">
        <f>88*1.589773</f>
        <v>139.900024</v>
      </c>
      <c r="D10" s="5">
        <v>77.400000000000006</v>
      </c>
      <c r="E10" s="5">
        <v>93.84</v>
      </c>
      <c r="F10" s="5">
        <v>83.85</v>
      </c>
      <c r="G10" s="5">
        <v>109.15</v>
      </c>
      <c r="H10" s="5">
        <v>66.97</v>
      </c>
      <c r="I10" s="5">
        <v>152</v>
      </c>
      <c r="J10" s="5">
        <v>73.08</v>
      </c>
      <c r="K10" s="5">
        <v>68.06</v>
      </c>
      <c r="L10" s="5">
        <v>135.66</v>
      </c>
      <c r="M10" s="5">
        <v>154.79999999999998</v>
      </c>
      <c r="N10" s="5">
        <v>86.52</v>
      </c>
      <c r="O10" s="5">
        <v>75.600000000000009</v>
      </c>
      <c r="P10" s="5">
        <v>57.69999</v>
      </c>
      <c r="Q10" s="5">
        <v>49.999994000000001</v>
      </c>
      <c r="R10" s="5">
        <v>111.4</v>
      </c>
      <c r="S10" s="5">
        <v>79.899999999999991</v>
      </c>
      <c r="T10" s="5">
        <v>167.29997900000001</v>
      </c>
      <c r="U10" s="5">
        <v>17.600000000000001</v>
      </c>
      <c r="V10">
        <f>18*1.977778</f>
        <v>35.600003999999998</v>
      </c>
      <c r="W10" s="534">
        <v>4.4000000000000004</v>
      </c>
    </row>
    <row r="11" spans="1:23">
      <c r="A11" s="4">
        <v>41</v>
      </c>
      <c r="B11" s="5" t="s">
        <v>4</v>
      </c>
      <c r="C11" s="5">
        <f>4*3.075</f>
        <v>12.3</v>
      </c>
      <c r="D11" s="5">
        <v>13.299999999999999</v>
      </c>
      <c r="E11" s="5">
        <v>11.33</v>
      </c>
      <c r="F11" s="5">
        <v>36.479999999999997</v>
      </c>
      <c r="G11" s="5">
        <v>80.410000000000011</v>
      </c>
      <c r="H11" s="5">
        <v>11.879999999999999</v>
      </c>
      <c r="I11" s="5">
        <v>0.5</v>
      </c>
      <c r="J11" s="5">
        <v>9.6</v>
      </c>
      <c r="K11" s="5">
        <v>0</v>
      </c>
      <c r="L11" s="5">
        <v>2.2000000000000002</v>
      </c>
      <c r="M11" s="5">
        <v>10</v>
      </c>
      <c r="N11" s="5">
        <v>14.399999999999999</v>
      </c>
      <c r="O11" s="5">
        <v>9.6999999999999993</v>
      </c>
      <c r="P11" s="5">
        <v>4</v>
      </c>
      <c r="Q11" s="5">
        <v>32.200001999999998</v>
      </c>
      <c r="R11" s="5">
        <v>54.1</v>
      </c>
      <c r="S11" s="5">
        <v>25.4</v>
      </c>
      <c r="T11" s="5">
        <v>0.1</v>
      </c>
      <c r="U11" s="5">
        <v>1.1000000000000001</v>
      </c>
      <c r="V11" s="5">
        <v>0</v>
      </c>
      <c r="W11" s="5">
        <v>0.2</v>
      </c>
    </row>
    <row r="12" spans="1:23">
      <c r="A12" s="4">
        <v>42</v>
      </c>
      <c r="B12" s="5" t="s">
        <v>5</v>
      </c>
      <c r="C12" s="5">
        <f>9*1.177778</f>
        <v>10.600002</v>
      </c>
      <c r="D12" s="5">
        <v>16.12</v>
      </c>
      <c r="E12" s="5">
        <v>0.2</v>
      </c>
      <c r="F12" s="5">
        <v>2.8000000000000003</v>
      </c>
      <c r="G12" s="5">
        <v>8.19</v>
      </c>
      <c r="H12" s="5">
        <v>0.4</v>
      </c>
      <c r="I12" s="5">
        <v>4.62</v>
      </c>
      <c r="J12" s="5">
        <v>21.06</v>
      </c>
      <c r="K12" s="5">
        <v>7.1999999999999993</v>
      </c>
      <c r="L12" s="5">
        <v>6.4</v>
      </c>
      <c r="M12" s="5">
        <v>4.0999999999999996</v>
      </c>
      <c r="N12" s="5">
        <v>5.67</v>
      </c>
      <c r="O12" s="5">
        <v>14.82</v>
      </c>
      <c r="P12" s="5">
        <v>4.0000005000000005</v>
      </c>
      <c r="Q12" s="5">
        <v>0.4</v>
      </c>
      <c r="R12" s="5">
        <v>17.300003</v>
      </c>
      <c r="S12" s="5">
        <v>4.0999999999999996</v>
      </c>
      <c r="T12" s="5">
        <v>0.2</v>
      </c>
      <c r="U12" s="534">
        <v>0.1</v>
      </c>
      <c r="V12" s="5">
        <v>0.2</v>
      </c>
      <c r="W12" s="5">
        <v>0.2</v>
      </c>
    </row>
    <row r="13" spans="1:23">
      <c r="A13" s="4">
        <v>51</v>
      </c>
      <c r="B13" s="5" t="s">
        <v>6</v>
      </c>
      <c r="C13" s="5">
        <v>7.6</v>
      </c>
      <c r="D13" s="5">
        <v>0.2</v>
      </c>
      <c r="E13" s="5">
        <v>2.72</v>
      </c>
      <c r="F13" s="5">
        <v>0.4</v>
      </c>
      <c r="G13" s="5">
        <v>8.370000000000001</v>
      </c>
      <c r="H13" s="5">
        <v>13.719999999999999</v>
      </c>
      <c r="I13" s="5">
        <v>5.0999999999999996</v>
      </c>
      <c r="J13" s="5">
        <v>13.5</v>
      </c>
      <c r="K13" s="5">
        <v>11.7</v>
      </c>
      <c r="L13" s="5">
        <v>0</v>
      </c>
      <c r="M13" s="5">
        <v>2.2999999999999998</v>
      </c>
      <c r="N13" s="5">
        <v>0.1</v>
      </c>
      <c r="O13" s="5">
        <v>6.2</v>
      </c>
      <c r="P13" s="5">
        <v>4.4000000000000004</v>
      </c>
      <c r="Q13" s="5">
        <v>7.1000010000000007</v>
      </c>
      <c r="R13" s="5">
        <v>0.1</v>
      </c>
      <c r="S13" s="5">
        <v>0</v>
      </c>
      <c r="T13" s="5">
        <v>0</v>
      </c>
      <c r="U13" s="5">
        <v>0.1</v>
      </c>
      <c r="V13" s="5">
        <v>0.1</v>
      </c>
      <c r="W13" s="5">
        <v>0</v>
      </c>
    </row>
    <row r="14" spans="1:23">
      <c r="A14" s="4">
        <v>52</v>
      </c>
      <c r="B14" s="5" t="s">
        <v>7</v>
      </c>
      <c r="C14" s="5">
        <v>0.4</v>
      </c>
      <c r="D14" s="5">
        <v>0</v>
      </c>
      <c r="E14" s="5">
        <v>0.1</v>
      </c>
      <c r="F14" s="5">
        <v>0</v>
      </c>
      <c r="G14" s="5">
        <v>0</v>
      </c>
      <c r="H14" s="5">
        <v>0.1</v>
      </c>
      <c r="I14" s="5">
        <v>2.4</v>
      </c>
      <c r="J14" s="5">
        <v>0.3</v>
      </c>
      <c r="K14" s="5">
        <v>4.5999999999999996</v>
      </c>
      <c r="L14" s="5">
        <v>1</v>
      </c>
      <c r="M14" s="5">
        <v>0</v>
      </c>
      <c r="N14" s="5">
        <v>0</v>
      </c>
      <c r="O14" s="5">
        <v>4.1999999999999993</v>
      </c>
      <c r="P14" s="5">
        <v>0</v>
      </c>
      <c r="Q14" s="5">
        <v>0.1</v>
      </c>
      <c r="R14" s="5">
        <v>0</v>
      </c>
      <c r="S14" s="5">
        <v>0</v>
      </c>
      <c r="T14" s="5">
        <v>0.1</v>
      </c>
      <c r="U14" s="5">
        <v>0</v>
      </c>
      <c r="V14" s="5">
        <v>0</v>
      </c>
      <c r="W14" s="5">
        <v>0</v>
      </c>
    </row>
    <row r="15" spans="1:23">
      <c r="A15" s="4">
        <v>53</v>
      </c>
      <c r="B15" s="5" t="s">
        <v>8</v>
      </c>
      <c r="C15" s="5">
        <v>0.5</v>
      </c>
      <c r="D15" s="5">
        <v>20.07</v>
      </c>
      <c r="E15" s="5">
        <v>1.6</v>
      </c>
      <c r="F15" s="5">
        <v>0.1</v>
      </c>
      <c r="G15" s="5">
        <v>0.3</v>
      </c>
      <c r="H15" s="5">
        <v>0.2</v>
      </c>
      <c r="I15" s="5">
        <v>0.1</v>
      </c>
      <c r="J15" s="5">
        <v>0</v>
      </c>
      <c r="K15" s="5">
        <v>0.1</v>
      </c>
      <c r="L15" s="5">
        <v>0.1</v>
      </c>
      <c r="M15" s="5">
        <v>0.2</v>
      </c>
      <c r="N15" s="5">
        <v>0</v>
      </c>
      <c r="O15" s="5">
        <v>4.9000000000000004</v>
      </c>
      <c r="P15" s="5">
        <v>0</v>
      </c>
      <c r="Q15" s="5">
        <v>0</v>
      </c>
      <c r="R15" s="5">
        <v>3</v>
      </c>
      <c r="S15" s="5">
        <v>0</v>
      </c>
      <c r="T15" s="5">
        <v>4.9000000000000004</v>
      </c>
      <c r="U15" s="5">
        <v>0</v>
      </c>
      <c r="V15" s="5">
        <v>0</v>
      </c>
      <c r="W15" s="5">
        <v>0</v>
      </c>
    </row>
    <row r="16" spans="1:23">
      <c r="A16" s="4">
        <v>54</v>
      </c>
      <c r="B16" s="5" t="s">
        <v>9</v>
      </c>
      <c r="C16" s="5">
        <v>0</v>
      </c>
      <c r="D16" s="5">
        <v>0</v>
      </c>
      <c r="E16" s="5">
        <v>0.1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4.8</v>
      </c>
      <c r="V16" s="5">
        <v>0</v>
      </c>
      <c r="W16" s="5">
        <v>0</v>
      </c>
    </row>
    <row r="17" spans="1:23">
      <c r="A17" s="4">
        <v>55</v>
      </c>
      <c r="B17" s="5" t="s">
        <v>10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0.1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1:23">
      <c r="A18" s="4">
        <v>56</v>
      </c>
      <c r="B18" s="5" t="s">
        <v>11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0.2</v>
      </c>
      <c r="N18" s="5">
        <v>0</v>
      </c>
      <c r="O18" s="5">
        <v>0.1</v>
      </c>
      <c r="P18" s="5">
        <v>0</v>
      </c>
      <c r="Q18" s="5">
        <v>0</v>
      </c>
      <c r="R18" s="5">
        <v>3.1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1:23">
      <c r="A19" s="4">
        <v>57</v>
      </c>
      <c r="B19" s="5" t="s">
        <v>12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0.1</v>
      </c>
      <c r="N19" s="5">
        <v>0</v>
      </c>
      <c r="O19" s="5">
        <v>0</v>
      </c>
      <c r="P19" s="5">
        <v>0</v>
      </c>
      <c r="Q19" s="5">
        <v>0</v>
      </c>
      <c r="R19" s="5">
        <v>3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1:23">
      <c r="A20" s="4">
        <v>58</v>
      </c>
      <c r="B20" s="5" t="s">
        <v>13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0.1</v>
      </c>
      <c r="I20" s="5">
        <v>0</v>
      </c>
      <c r="J20" s="5">
        <v>3</v>
      </c>
      <c r="K20" s="5">
        <v>0</v>
      </c>
      <c r="L20" s="5">
        <v>0</v>
      </c>
      <c r="M20" s="5">
        <v>9.1999999999999993</v>
      </c>
      <c r="N20" s="5">
        <v>0.1</v>
      </c>
      <c r="O20" s="5">
        <v>6.4</v>
      </c>
      <c r="P20" s="5">
        <v>0</v>
      </c>
      <c r="Q20" s="5">
        <v>4</v>
      </c>
      <c r="R20" s="5">
        <v>0</v>
      </c>
      <c r="S20" s="5">
        <v>2.2000000000000002</v>
      </c>
      <c r="T20" s="5">
        <v>4.5</v>
      </c>
      <c r="U20" s="5">
        <v>0</v>
      </c>
      <c r="V20" s="5">
        <v>0</v>
      </c>
      <c r="W20" s="5">
        <v>0</v>
      </c>
    </row>
    <row r="21" spans="1:23">
      <c r="A21" s="4">
        <v>60</v>
      </c>
      <c r="B21" s="5" t="s">
        <v>14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9</v>
      </c>
      <c r="T21" s="5">
        <v>0</v>
      </c>
      <c r="U21" s="5">
        <v>0</v>
      </c>
      <c r="V21" s="5">
        <v>0</v>
      </c>
      <c r="W21" s="5">
        <v>0</v>
      </c>
    </row>
    <row r="22" spans="1:23">
      <c r="A22" s="4">
        <v>70</v>
      </c>
      <c r="B22" s="5" t="s">
        <v>15</v>
      </c>
      <c r="C22" s="5">
        <f>40*1.41</f>
        <v>56.4</v>
      </c>
      <c r="D22" s="5">
        <v>26.88</v>
      </c>
      <c r="E22" s="5">
        <v>44.8</v>
      </c>
      <c r="F22" s="5">
        <v>59.28</v>
      </c>
      <c r="G22" s="5">
        <v>55.44</v>
      </c>
      <c r="H22" s="5">
        <v>115.36999999999999</v>
      </c>
      <c r="I22" s="5">
        <v>92.039999999999992</v>
      </c>
      <c r="J22" s="5">
        <v>171.14999999999998</v>
      </c>
      <c r="K22" s="5">
        <v>189</v>
      </c>
      <c r="L22" s="5">
        <v>93.75</v>
      </c>
      <c r="M22" s="5">
        <v>125.25</v>
      </c>
      <c r="N22" s="5">
        <v>108.58</v>
      </c>
      <c r="O22" s="5">
        <v>91.28</v>
      </c>
      <c r="P22" s="5">
        <v>91.100008000000003</v>
      </c>
      <c r="Q22" s="5">
        <v>90.999990000000011</v>
      </c>
      <c r="R22" s="5">
        <v>131.49998400000001</v>
      </c>
      <c r="S22" s="5">
        <v>140.19997999999998</v>
      </c>
      <c r="T22" s="5">
        <v>56.899990000000003</v>
      </c>
      <c r="U22">
        <f>24*2.425</f>
        <v>58.199999999999996</v>
      </c>
      <c r="V22">
        <f>25*0.612</f>
        <v>15.299999999999999</v>
      </c>
      <c r="W22" s="5">
        <v>3.1</v>
      </c>
    </row>
    <row r="23" spans="1:23">
      <c r="A23" s="4">
        <v>80</v>
      </c>
      <c r="B23" s="5" t="s">
        <v>16</v>
      </c>
      <c r="C23" s="5">
        <v>0</v>
      </c>
      <c r="D23" s="5">
        <v>0.1</v>
      </c>
      <c r="E23" s="5">
        <v>0</v>
      </c>
      <c r="F23" s="5">
        <v>0</v>
      </c>
      <c r="G23" s="5">
        <v>0</v>
      </c>
      <c r="H23" s="5">
        <v>2.2000000000000002</v>
      </c>
      <c r="I23" s="5">
        <v>0.2</v>
      </c>
      <c r="J23" s="5">
        <v>0</v>
      </c>
      <c r="K23" s="5">
        <v>0</v>
      </c>
      <c r="L23" s="5">
        <v>0.1</v>
      </c>
      <c r="M23" s="5">
        <v>0</v>
      </c>
      <c r="N23" s="5">
        <v>0</v>
      </c>
      <c r="O23" s="5">
        <v>0.1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1:23">
      <c r="A24" s="4">
        <v>90</v>
      </c>
      <c r="B24" s="5" t="s">
        <v>17</v>
      </c>
      <c r="C24" s="5">
        <f>3*3.533333</f>
        <v>10.599999</v>
      </c>
      <c r="D24" s="5">
        <v>8.91</v>
      </c>
      <c r="E24" s="5">
        <v>10.199999999999999</v>
      </c>
      <c r="F24" s="5">
        <v>7.4</v>
      </c>
      <c r="G24" s="5">
        <v>14.209999999999999</v>
      </c>
      <c r="H24" s="5">
        <v>32.4</v>
      </c>
      <c r="I24" s="5">
        <v>5.94</v>
      </c>
      <c r="J24" s="5">
        <v>23.43</v>
      </c>
      <c r="K24" s="5">
        <v>16.98</v>
      </c>
      <c r="L24" s="5">
        <v>16.799999999999997</v>
      </c>
      <c r="M24" s="5">
        <v>16.5</v>
      </c>
      <c r="N24" s="5">
        <v>0.2</v>
      </c>
      <c r="O24" s="5">
        <v>2.4000000000000004</v>
      </c>
      <c r="P24" s="5">
        <v>5.6999999999999993</v>
      </c>
      <c r="Q24" s="5">
        <v>14</v>
      </c>
      <c r="R24" s="5">
        <v>23.100002999999997</v>
      </c>
      <c r="S24" s="5">
        <v>46.2</v>
      </c>
      <c r="T24" s="5">
        <v>25.299996</v>
      </c>
      <c r="U24">
        <f>13*3.792308</f>
        <v>49.300003999999994</v>
      </c>
      <c r="V24">
        <f>7*5.057143</f>
        <v>35.400001000000003</v>
      </c>
      <c r="W24" s="5">
        <v>21</v>
      </c>
    </row>
    <row r="25" spans="1:23">
      <c r="A25" s="4">
        <v>91</v>
      </c>
      <c r="B25" s="5" t="s">
        <v>18</v>
      </c>
      <c r="C25" s="5">
        <f>8*1.5625</f>
        <v>12.5</v>
      </c>
      <c r="D25" s="5">
        <v>6.72</v>
      </c>
      <c r="E25" s="5">
        <v>15.99</v>
      </c>
      <c r="F25" s="5">
        <v>2.31</v>
      </c>
      <c r="G25" s="5">
        <v>9.32</v>
      </c>
      <c r="H25" s="5">
        <v>2.6</v>
      </c>
      <c r="I25" s="5">
        <v>14.580000000000002</v>
      </c>
      <c r="J25" s="5">
        <v>6.5</v>
      </c>
      <c r="K25" s="5">
        <v>11.440000000000001</v>
      </c>
      <c r="L25" s="5">
        <v>17.5</v>
      </c>
      <c r="M25" s="5">
        <v>22.919999999999998</v>
      </c>
      <c r="N25" s="5">
        <v>0</v>
      </c>
      <c r="O25" s="5">
        <v>2.5</v>
      </c>
      <c r="P25" s="5">
        <v>7.1999999999999993</v>
      </c>
      <c r="Q25" s="5">
        <v>9.6999999999999993</v>
      </c>
      <c r="R25" s="5">
        <v>9.6</v>
      </c>
      <c r="S25" s="5">
        <v>2.2999999999999998</v>
      </c>
      <c r="T25" s="5">
        <v>9.2000000000000011</v>
      </c>
      <c r="U25" s="5">
        <v>0</v>
      </c>
      <c r="V25">
        <v>82.3</v>
      </c>
      <c r="W25" s="5">
        <v>9.6</v>
      </c>
    </row>
    <row r="26" spans="1:23">
      <c r="A26" s="4">
        <v>92</v>
      </c>
      <c r="B26" s="5" t="s">
        <v>19</v>
      </c>
      <c r="C26" s="5">
        <f>22*2.495455</f>
        <v>54.900010000000002</v>
      </c>
      <c r="D26" s="5">
        <v>69.160000000000011</v>
      </c>
      <c r="E26" s="5">
        <v>29.54</v>
      </c>
      <c r="F26" s="5">
        <v>7</v>
      </c>
      <c r="G26" s="5">
        <v>11.84</v>
      </c>
      <c r="H26" s="5">
        <v>2.52</v>
      </c>
      <c r="I26" s="5">
        <v>9.7200000000000006</v>
      </c>
      <c r="J26" s="5">
        <v>8.8000000000000007</v>
      </c>
      <c r="K26" s="5">
        <v>0.3</v>
      </c>
      <c r="L26" s="5">
        <v>4.0999999999999996</v>
      </c>
      <c r="M26" s="5">
        <v>14.190000000000001</v>
      </c>
      <c r="N26" s="5">
        <v>0.4</v>
      </c>
      <c r="O26" s="5">
        <v>0.3</v>
      </c>
      <c r="P26" s="5">
        <v>7.6</v>
      </c>
      <c r="Q26" s="5">
        <v>34.000002000000002</v>
      </c>
      <c r="R26" s="5">
        <v>23</v>
      </c>
      <c r="S26" s="5">
        <v>0.2</v>
      </c>
      <c r="T26" s="5">
        <v>14.1</v>
      </c>
      <c r="U26" s="5">
        <v>0.3</v>
      </c>
      <c r="V26">
        <f>2*4.85</f>
        <v>9.6999999999999993</v>
      </c>
      <c r="W26" s="5">
        <v>0</v>
      </c>
    </row>
    <row r="27" spans="1:23">
      <c r="A27" s="4">
        <v>93</v>
      </c>
      <c r="B27" s="5" t="s">
        <v>20</v>
      </c>
      <c r="C27" s="5">
        <f>30*1.32</f>
        <v>39.6</v>
      </c>
      <c r="D27" s="5">
        <v>21.44</v>
      </c>
      <c r="E27" s="5">
        <v>14.209999999999999</v>
      </c>
      <c r="F27" s="5">
        <v>2.4000000000000004</v>
      </c>
      <c r="G27" s="5">
        <v>17.22</v>
      </c>
      <c r="H27" s="5">
        <v>4.59</v>
      </c>
      <c r="I27" s="5">
        <v>9.99</v>
      </c>
      <c r="J27" s="5">
        <v>19.12</v>
      </c>
      <c r="K27" s="5">
        <v>5</v>
      </c>
      <c r="L27" s="5">
        <v>19.920000000000002</v>
      </c>
      <c r="M27" s="5">
        <v>15.72</v>
      </c>
      <c r="N27" s="5">
        <v>21.299999999999997</v>
      </c>
      <c r="O27" s="5">
        <v>9.6</v>
      </c>
      <c r="P27" s="5">
        <v>2.2000000000000002</v>
      </c>
      <c r="Q27" s="5">
        <v>0.30000000000000004</v>
      </c>
      <c r="R27" s="5">
        <v>5.4</v>
      </c>
      <c r="S27" s="5">
        <v>12</v>
      </c>
      <c r="T27" s="5">
        <v>14</v>
      </c>
      <c r="U27" s="5">
        <v>0</v>
      </c>
      <c r="V27">
        <f>5*4.84</f>
        <v>24.2</v>
      </c>
      <c r="W27" s="5">
        <v>0</v>
      </c>
    </row>
    <row r="28" spans="1:23">
      <c r="A28" s="4">
        <v>94</v>
      </c>
      <c r="B28" s="5" t="s">
        <v>21</v>
      </c>
      <c r="C28" s="5">
        <f>5*2.34</f>
        <v>11.7</v>
      </c>
      <c r="D28" s="5">
        <v>0.2</v>
      </c>
      <c r="E28" s="5">
        <v>6.8</v>
      </c>
      <c r="F28" s="5">
        <v>21.12</v>
      </c>
      <c r="G28" s="5">
        <v>0.4</v>
      </c>
      <c r="H28" s="5">
        <v>12.5</v>
      </c>
      <c r="I28" s="5">
        <v>24.08</v>
      </c>
      <c r="J28" s="5">
        <v>5.0999999999999996</v>
      </c>
      <c r="K28" s="5">
        <v>13.2</v>
      </c>
      <c r="L28" s="5">
        <v>31.5</v>
      </c>
      <c r="M28" s="5">
        <v>4.72</v>
      </c>
      <c r="N28" s="5">
        <v>9.6</v>
      </c>
      <c r="O28" s="5">
        <v>2.2000000000000002</v>
      </c>
      <c r="P28" s="5">
        <v>8.9000009999999996</v>
      </c>
      <c r="Q28" s="5">
        <v>4.5999990000000004</v>
      </c>
      <c r="R28" s="5">
        <v>4.9000000000000004</v>
      </c>
      <c r="S28" s="5">
        <v>18.800001000000002</v>
      </c>
      <c r="T28" s="5">
        <v>9.3000000000000007</v>
      </c>
      <c r="U28" s="5">
        <v>4</v>
      </c>
      <c r="V28" s="5">
        <v>0.1</v>
      </c>
      <c r="W28" s="5">
        <v>0</v>
      </c>
    </row>
    <row r="29" spans="1:23">
      <c r="A29" s="4">
        <v>95</v>
      </c>
      <c r="B29" s="5" t="s">
        <v>22</v>
      </c>
      <c r="C29" s="5">
        <f>21*2.719048</f>
        <v>57.100007999999995</v>
      </c>
      <c r="D29" s="5">
        <v>17.8</v>
      </c>
      <c r="E29" s="5">
        <v>10.57</v>
      </c>
      <c r="F29" s="5">
        <v>27.36</v>
      </c>
      <c r="G29" s="5">
        <v>19.98</v>
      </c>
      <c r="H29" s="5">
        <v>15.33</v>
      </c>
      <c r="I29" s="5">
        <v>19.169999999999998</v>
      </c>
      <c r="J29" s="5">
        <v>36.630000000000003</v>
      </c>
      <c r="K29" s="5">
        <v>9.4</v>
      </c>
      <c r="L29" s="5">
        <v>20.7</v>
      </c>
      <c r="M29" s="5">
        <v>26</v>
      </c>
      <c r="N29" s="5">
        <v>15.12</v>
      </c>
      <c r="O29" s="5">
        <v>4.4000000000000004</v>
      </c>
      <c r="P29" s="5">
        <v>12.2</v>
      </c>
      <c r="Q29" s="5">
        <v>3.3</v>
      </c>
      <c r="R29" s="5">
        <v>2.2000000000000002</v>
      </c>
      <c r="S29" s="5">
        <v>0</v>
      </c>
      <c r="T29" s="5">
        <v>0.30000000000000004</v>
      </c>
      <c r="U29" s="5">
        <v>0</v>
      </c>
      <c r="V29" s="5">
        <v>0.1</v>
      </c>
      <c r="W29" s="5">
        <v>0</v>
      </c>
    </row>
    <row r="30" spans="1:23">
      <c r="A30" s="4">
        <v>100</v>
      </c>
      <c r="B30" s="5" t="s">
        <v>23</v>
      </c>
      <c r="C30" s="5">
        <f>34*3.476471</f>
        <v>118.20001400000001</v>
      </c>
      <c r="D30" s="5">
        <v>40.25</v>
      </c>
      <c r="E30" s="5">
        <v>151.9</v>
      </c>
      <c r="F30" s="5">
        <v>96.800000000000011</v>
      </c>
      <c r="G30" s="5">
        <v>99.75</v>
      </c>
      <c r="H30" s="5">
        <v>121.88</v>
      </c>
      <c r="I30" s="5">
        <v>96.28</v>
      </c>
      <c r="J30" s="5">
        <v>117.51999999999998</v>
      </c>
      <c r="K30" s="5">
        <v>107.2</v>
      </c>
      <c r="L30" s="5">
        <v>51.48</v>
      </c>
      <c r="M30" s="5">
        <v>60</v>
      </c>
      <c r="N30" s="5">
        <v>285.59999999999997</v>
      </c>
      <c r="O30" s="5">
        <v>97.65</v>
      </c>
      <c r="P30" s="5">
        <v>63</v>
      </c>
      <c r="Q30" s="5">
        <v>66.599997000000002</v>
      </c>
      <c r="R30" s="5">
        <v>87.3</v>
      </c>
      <c r="S30" s="5">
        <v>23.5</v>
      </c>
      <c r="T30" s="5">
        <v>111.200008</v>
      </c>
      <c r="U30" s="5">
        <v>13.7</v>
      </c>
      <c r="V30">
        <v>7.3</v>
      </c>
      <c r="W30" s="5">
        <v>2.7</v>
      </c>
    </row>
    <row r="31" spans="1:23">
      <c r="A31" s="4">
        <v>101</v>
      </c>
      <c r="B31" s="5" t="s">
        <v>24</v>
      </c>
      <c r="C31" s="5">
        <f>21*2.27619</f>
        <v>47.799990000000001</v>
      </c>
      <c r="D31" s="5">
        <v>25.200000000000003</v>
      </c>
      <c r="E31" s="5">
        <v>17.850000000000001</v>
      </c>
      <c r="F31" s="5">
        <v>19.32</v>
      </c>
      <c r="G31" s="5">
        <v>66.669999999999987</v>
      </c>
      <c r="H31" s="5">
        <v>13.28</v>
      </c>
      <c r="I31" s="5">
        <v>73</v>
      </c>
      <c r="J31" s="5">
        <v>30.4</v>
      </c>
      <c r="K31" s="5">
        <v>21.39</v>
      </c>
      <c r="L31" s="5">
        <v>51.9</v>
      </c>
      <c r="M31" s="5">
        <v>64.959999999999994</v>
      </c>
      <c r="N31" s="5">
        <v>85.5</v>
      </c>
      <c r="O31" s="5">
        <v>36.57</v>
      </c>
      <c r="P31" s="5">
        <v>78.099996000000004</v>
      </c>
      <c r="Q31" s="5">
        <v>86.200019999999995</v>
      </c>
      <c r="R31" s="5">
        <v>260.10004800000002</v>
      </c>
      <c r="S31" s="5">
        <v>209.90004599999997</v>
      </c>
      <c r="T31" s="5">
        <v>125.8</v>
      </c>
      <c r="U31">
        <f>41*2.931707</f>
        <v>120.19998699999999</v>
      </c>
      <c r="V31">
        <f>25*1.732</f>
        <v>43.3</v>
      </c>
      <c r="W31">
        <v>34.6</v>
      </c>
    </row>
    <row r="32" spans="1:23">
      <c r="A32" s="4">
        <v>110</v>
      </c>
      <c r="B32" s="5" t="s">
        <v>25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0.1</v>
      </c>
      <c r="I32" s="5">
        <v>2.2000000000000002</v>
      </c>
      <c r="J32" s="5">
        <v>0</v>
      </c>
      <c r="K32" s="5">
        <v>0.2</v>
      </c>
      <c r="L32" s="5">
        <v>4</v>
      </c>
      <c r="M32" s="5">
        <v>21.8</v>
      </c>
      <c r="N32" s="5">
        <v>0</v>
      </c>
      <c r="O32" s="5">
        <v>0</v>
      </c>
      <c r="P32" s="5">
        <v>0</v>
      </c>
      <c r="Q32" s="5">
        <v>0</v>
      </c>
      <c r="R32" s="5">
        <v>0.4</v>
      </c>
      <c r="S32" s="5">
        <v>2.2000000000000002</v>
      </c>
      <c r="T32" s="5">
        <v>8.9000009999999996</v>
      </c>
      <c r="U32" s="5">
        <v>0.1</v>
      </c>
      <c r="V32" s="5">
        <v>0</v>
      </c>
      <c r="W32" s="5">
        <v>0</v>
      </c>
    </row>
    <row r="33" spans="1:23">
      <c r="A33" s="4">
        <v>115</v>
      </c>
      <c r="B33" s="5" t="s">
        <v>26</v>
      </c>
      <c r="C33" s="5">
        <f>6*3.966667</f>
        <v>23.800001999999999</v>
      </c>
      <c r="D33" s="5">
        <v>2.2999999999999998</v>
      </c>
      <c r="E33" s="5">
        <v>2.2000000000000002</v>
      </c>
      <c r="F33" s="5">
        <v>0.2</v>
      </c>
      <c r="G33" s="5">
        <v>0.1</v>
      </c>
      <c r="H33" s="5">
        <v>0</v>
      </c>
      <c r="I33" s="5">
        <v>0.1</v>
      </c>
      <c r="J33" s="5">
        <v>6.72</v>
      </c>
      <c r="K33" s="5">
        <v>0.1</v>
      </c>
      <c r="L33" s="5">
        <v>0.1</v>
      </c>
      <c r="M33" s="5">
        <v>13.12</v>
      </c>
      <c r="N33" s="5">
        <v>4.4000000000000004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2.4</v>
      </c>
      <c r="U33" s="5">
        <v>0</v>
      </c>
      <c r="V33" s="5">
        <v>0</v>
      </c>
      <c r="W33" s="5">
        <v>0</v>
      </c>
    </row>
    <row r="34" spans="1:23">
      <c r="A34" s="4">
        <v>130</v>
      </c>
      <c r="B34" s="5" t="s">
        <v>27</v>
      </c>
      <c r="C34" s="5">
        <f>5*1.06</f>
        <v>5.3000000000000007</v>
      </c>
      <c r="D34" s="5">
        <v>0.1</v>
      </c>
      <c r="E34" s="5">
        <v>6.8</v>
      </c>
      <c r="F34" s="5">
        <v>6.7200000000000006</v>
      </c>
      <c r="G34" s="5">
        <v>4.95</v>
      </c>
      <c r="H34" s="5">
        <v>112</v>
      </c>
      <c r="I34" s="5">
        <v>4.8999999999999995</v>
      </c>
      <c r="J34" s="5">
        <v>9.6999999999999993</v>
      </c>
      <c r="K34" s="5">
        <v>11.3</v>
      </c>
      <c r="L34" s="5">
        <v>0.6</v>
      </c>
      <c r="M34" s="5">
        <v>15.04</v>
      </c>
      <c r="N34" s="5">
        <v>23.92</v>
      </c>
      <c r="O34" s="5">
        <v>21.8</v>
      </c>
      <c r="P34" s="5">
        <v>9.7000020000000013</v>
      </c>
      <c r="Q34" s="5">
        <v>7.1999999999999993</v>
      </c>
      <c r="R34" s="5">
        <v>14.6</v>
      </c>
      <c r="S34" s="5">
        <v>25.899995999999998</v>
      </c>
      <c r="T34" s="5">
        <v>35.200000000000003</v>
      </c>
      <c r="U34">
        <f>11*3.454545</f>
        <v>37.999994999999998</v>
      </c>
      <c r="V34">
        <v>49</v>
      </c>
      <c r="W34">
        <f>5*1.74</f>
        <v>8.6999999999999993</v>
      </c>
    </row>
    <row r="35" spans="1:23">
      <c r="A35" s="4">
        <v>135</v>
      </c>
      <c r="B35" s="5" t="s">
        <v>28</v>
      </c>
      <c r="C35" s="5">
        <f>13*1.892308</f>
        <v>24.600004000000002</v>
      </c>
      <c r="D35" s="5">
        <v>26.160000000000004</v>
      </c>
      <c r="E35" s="5">
        <v>67.62</v>
      </c>
      <c r="F35" s="5">
        <v>69.960000000000008</v>
      </c>
      <c r="G35" s="5">
        <v>19.68</v>
      </c>
      <c r="H35" s="5">
        <v>106.39999999999999</v>
      </c>
      <c r="I35" s="5">
        <v>71.739999999999995</v>
      </c>
      <c r="J35" s="5">
        <v>71.680000000000007</v>
      </c>
      <c r="K35" s="5">
        <v>26.4</v>
      </c>
      <c r="L35" s="5">
        <v>12.9</v>
      </c>
      <c r="M35" s="5">
        <v>23.759999999999998</v>
      </c>
      <c r="N35" s="5">
        <v>49.4</v>
      </c>
      <c r="O35" s="5">
        <v>14.280000000000001</v>
      </c>
      <c r="P35" s="5">
        <v>15.800003999999999</v>
      </c>
      <c r="Q35" s="5">
        <v>35.499995999999996</v>
      </c>
      <c r="R35" s="5">
        <v>81.400003999999996</v>
      </c>
      <c r="S35" s="5">
        <v>48.4</v>
      </c>
      <c r="T35" s="5">
        <v>12.2</v>
      </c>
      <c r="U35">
        <f>9*1.533333</f>
        <v>13.799997000000001</v>
      </c>
      <c r="V35">
        <f>4*2.325</f>
        <v>9.3000000000000007</v>
      </c>
      <c r="W35">
        <f>2*1.15</f>
        <v>2.2999999999999998</v>
      </c>
    </row>
    <row r="36" spans="1:23">
      <c r="A36" s="4">
        <v>140</v>
      </c>
      <c r="B36" s="5" t="s">
        <v>29</v>
      </c>
      <c r="C36" s="5">
        <f>16*2.3125</f>
        <v>37</v>
      </c>
      <c r="D36" s="5">
        <v>34.729999999999997</v>
      </c>
      <c r="E36" s="5">
        <v>19.8</v>
      </c>
      <c r="F36" s="5">
        <v>58.08</v>
      </c>
      <c r="G36" s="5">
        <v>35.029999999999994</v>
      </c>
      <c r="H36" s="5">
        <v>39.22</v>
      </c>
      <c r="I36" s="5">
        <v>84.15</v>
      </c>
      <c r="J36" s="5">
        <v>85.91</v>
      </c>
      <c r="K36" s="5">
        <v>90.95</v>
      </c>
      <c r="L36" s="5">
        <v>102.3</v>
      </c>
      <c r="M36" s="5">
        <v>118.4</v>
      </c>
      <c r="N36" s="5">
        <v>141.96</v>
      </c>
      <c r="O36" s="5">
        <v>87.92</v>
      </c>
      <c r="P36" s="5">
        <v>101.300012</v>
      </c>
      <c r="Q36" s="5">
        <v>107.49997599999999</v>
      </c>
      <c r="R36" s="5">
        <v>101.59999000000001</v>
      </c>
      <c r="S36" s="5">
        <v>117.49998000000001</v>
      </c>
      <c r="T36" s="5">
        <v>56.199984000000001</v>
      </c>
      <c r="U36">
        <f>44*1.9</f>
        <v>83.6</v>
      </c>
      <c r="V36">
        <v>41.5</v>
      </c>
      <c r="W36">
        <f>16*0.36875</f>
        <v>5.9</v>
      </c>
    </row>
    <row r="37" spans="1:23">
      <c r="A37" s="4">
        <v>145</v>
      </c>
      <c r="B37" s="5" t="s">
        <v>30</v>
      </c>
      <c r="C37" s="5">
        <f>2*2.7</f>
        <v>5.4</v>
      </c>
      <c r="D37" s="5">
        <v>9</v>
      </c>
      <c r="E37" s="5">
        <v>15.61</v>
      </c>
      <c r="F37" s="5">
        <v>6.99</v>
      </c>
      <c r="G37" s="5">
        <v>2.6</v>
      </c>
      <c r="H37" s="5">
        <v>24.8</v>
      </c>
      <c r="I37" s="5">
        <v>4.7700000000000005</v>
      </c>
      <c r="J37" s="5">
        <v>9.6</v>
      </c>
      <c r="K37" s="5">
        <v>9.81</v>
      </c>
      <c r="L37" s="5">
        <v>4.59</v>
      </c>
      <c r="M37" s="5">
        <v>14.7</v>
      </c>
      <c r="N37" s="5">
        <v>0.3</v>
      </c>
      <c r="O37" s="5">
        <v>5.6999999999999993</v>
      </c>
      <c r="P37" s="5">
        <v>8.2999998000000001</v>
      </c>
      <c r="Q37" s="5">
        <v>10.4</v>
      </c>
      <c r="R37" s="5">
        <v>9.4</v>
      </c>
      <c r="S37" s="5">
        <v>70.5</v>
      </c>
      <c r="T37" s="5">
        <v>77.300002000000006</v>
      </c>
      <c r="U37">
        <f>12*1.941667</f>
        <v>23.300004000000001</v>
      </c>
      <c r="V37">
        <f>2*5.95</f>
        <v>11.9</v>
      </c>
      <c r="W37">
        <f>2*1.55</f>
        <v>3.1</v>
      </c>
    </row>
    <row r="38" spans="1:23">
      <c r="A38" s="4">
        <v>150</v>
      </c>
      <c r="B38" s="5" t="s">
        <v>31</v>
      </c>
      <c r="C38" s="5">
        <v>0</v>
      </c>
      <c r="D38" s="5">
        <v>0.1</v>
      </c>
      <c r="E38" s="5">
        <v>0</v>
      </c>
      <c r="F38" s="5">
        <v>5</v>
      </c>
      <c r="G38" s="5">
        <v>0.5</v>
      </c>
      <c r="H38" s="5">
        <v>4.4000000000000004</v>
      </c>
      <c r="I38" s="5">
        <v>4.9000000000000004</v>
      </c>
      <c r="J38" s="5">
        <v>10.11</v>
      </c>
      <c r="K38" s="5">
        <v>39</v>
      </c>
      <c r="L38" s="5">
        <v>38.64</v>
      </c>
      <c r="M38" s="5">
        <v>10.89</v>
      </c>
      <c r="N38" s="5">
        <v>9.3000000000000007</v>
      </c>
      <c r="O38" s="5">
        <v>4.32</v>
      </c>
      <c r="P38" s="5">
        <v>9.3000000000000007</v>
      </c>
      <c r="Q38" s="5">
        <v>2.4000000000000004</v>
      </c>
      <c r="R38" s="5">
        <v>0</v>
      </c>
      <c r="S38" s="5">
        <v>2.2000000000000002</v>
      </c>
      <c r="T38" s="5">
        <v>14.399999999999999</v>
      </c>
      <c r="U38" s="5">
        <v>0.2</v>
      </c>
      <c r="V38" s="5">
        <v>4</v>
      </c>
      <c r="W38" s="5">
        <v>0</v>
      </c>
    </row>
    <row r="39" spans="1:23">
      <c r="A39" s="4">
        <v>155</v>
      </c>
      <c r="B39" s="5" t="s">
        <v>32</v>
      </c>
      <c r="C39" s="5">
        <f>27*0.9666667</f>
        <v>26.100000900000001</v>
      </c>
      <c r="D39" s="5">
        <v>25.2</v>
      </c>
      <c r="E39" s="5">
        <v>31</v>
      </c>
      <c r="F39" s="5">
        <v>28.32</v>
      </c>
      <c r="G39" s="5">
        <v>25.2</v>
      </c>
      <c r="H39" s="5">
        <v>41.910000000000004</v>
      </c>
      <c r="I39" s="5">
        <v>54.36</v>
      </c>
      <c r="J39" s="5">
        <v>82.88</v>
      </c>
      <c r="K39" s="5">
        <v>81.600000000000009</v>
      </c>
      <c r="L39" s="5">
        <v>76.44</v>
      </c>
      <c r="M39" s="5">
        <v>35.64</v>
      </c>
      <c r="N39" s="5">
        <v>41.48</v>
      </c>
      <c r="O39" s="5">
        <v>30.939999999999998</v>
      </c>
      <c r="P39" s="5">
        <v>36.5</v>
      </c>
      <c r="Q39" s="5">
        <v>7.1999999999999993</v>
      </c>
      <c r="R39" s="5">
        <v>37.899988</v>
      </c>
      <c r="S39" s="5">
        <v>46.300009999999993</v>
      </c>
      <c r="T39" s="5">
        <v>33.800000500000003</v>
      </c>
      <c r="U39" s="5">
        <v>9.6999999999999993</v>
      </c>
      <c r="V39">
        <f>17*0.2235294</f>
        <v>3.7999997999999997</v>
      </c>
      <c r="W39">
        <f>14*0.75</f>
        <v>10.5</v>
      </c>
    </row>
    <row r="40" spans="1:23">
      <c r="A40" s="4">
        <v>160</v>
      </c>
      <c r="B40" s="5" t="s">
        <v>33</v>
      </c>
      <c r="C40" s="5">
        <f>14*1.007143</f>
        <v>14.100001999999998</v>
      </c>
      <c r="D40" s="5">
        <v>43.68</v>
      </c>
      <c r="E40" s="5">
        <v>30.34</v>
      </c>
      <c r="F40" s="5">
        <v>70.31</v>
      </c>
      <c r="G40" s="5">
        <v>84.42</v>
      </c>
      <c r="H40" s="5">
        <v>58.5</v>
      </c>
      <c r="I40" s="5">
        <v>88</v>
      </c>
      <c r="J40" s="5">
        <v>70.89</v>
      </c>
      <c r="K40" s="5">
        <v>58.300000000000004</v>
      </c>
      <c r="L40" s="5">
        <v>77.52</v>
      </c>
      <c r="M40" s="5">
        <v>68.88</v>
      </c>
      <c r="N40" s="5">
        <v>68.459999999999994</v>
      </c>
      <c r="O40" s="5">
        <v>33.119999999999997</v>
      </c>
      <c r="P40" s="5">
        <v>36.199996999999996</v>
      </c>
      <c r="Q40" s="5">
        <v>65.5</v>
      </c>
      <c r="R40" s="5">
        <v>23.3</v>
      </c>
      <c r="S40" s="5">
        <v>25.999994999999998</v>
      </c>
      <c r="T40" s="5">
        <v>72.399990000000003</v>
      </c>
      <c r="U40" s="5">
        <v>2.4</v>
      </c>
      <c r="V40">
        <f>4*2.8</f>
        <v>11.2</v>
      </c>
      <c r="W40">
        <f>11*2.536364</f>
        <v>27.900003999999999</v>
      </c>
    </row>
    <row r="41" spans="1:23">
      <c r="A41" s="4">
        <v>165</v>
      </c>
      <c r="B41" s="5" t="s">
        <v>34</v>
      </c>
      <c r="C41" s="5">
        <f>4*1.075</f>
        <v>4.3</v>
      </c>
      <c r="D41" s="5">
        <v>0.5</v>
      </c>
      <c r="E41" s="5">
        <v>0.3</v>
      </c>
      <c r="F41" s="5">
        <v>0.4</v>
      </c>
      <c r="G41" s="5">
        <v>14.1</v>
      </c>
      <c r="H41" s="5">
        <v>5.2</v>
      </c>
      <c r="I41" s="5">
        <v>0.1</v>
      </c>
      <c r="J41" s="5">
        <v>5.0999999999999996</v>
      </c>
      <c r="K41" s="5">
        <v>0.2</v>
      </c>
      <c r="L41" s="5">
        <v>4.59</v>
      </c>
      <c r="M41" s="5">
        <v>0.4</v>
      </c>
      <c r="N41" s="5">
        <v>4.6999999999999993</v>
      </c>
      <c r="O41" s="5">
        <v>14.2</v>
      </c>
      <c r="P41" s="5">
        <v>1.2</v>
      </c>
      <c r="Q41" s="5">
        <v>2.4000000000000004</v>
      </c>
      <c r="R41" s="5">
        <v>6.0999989999999995</v>
      </c>
      <c r="S41" s="5">
        <v>8</v>
      </c>
      <c r="T41" s="5">
        <v>27.1</v>
      </c>
      <c r="U41" s="5">
        <v>0.1</v>
      </c>
      <c r="V41" s="5">
        <v>6.9</v>
      </c>
      <c r="W41" s="5">
        <v>0</v>
      </c>
    </row>
    <row r="42" spans="1:23">
      <c r="A42" s="4">
        <v>200</v>
      </c>
      <c r="B42" s="5" t="s">
        <v>35</v>
      </c>
      <c r="C42" s="5">
        <f>443*1.342212</f>
        <v>594.59991600000001</v>
      </c>
      <c r="D42" s="5">
        <v>662.69999999999993</v>
      </c>
      <c r="E42" s="5">
        <v>791.8</v>
      </c>
      <c r="F42" s="5">
        <v>799.19999999999993</v>
      </c>
      <c r="G42" s="5">
        <v>736.56</v>
      </c>
      <c r="H42" s="5">
        <v>718.75</v>
      </c>
      <c r="I42" s="5">
        <v>729.56</v>
      </c>
      <c r="J42" s="5">
        <v>658.56000000000006</v>
      </c>
      <c r="K42" s="5">
        <v>819.45</v>
      </c>
      <c r="L42" s="5">
        <v>796.67000000000007</v>
      </c>
      <c r="M42" s="5">
        <v>672</v>
      </c>
      <c r="N42" s="5">
        <v>870.48</v>
      </c>
      <c r="O42" s="5">
        <v>680.58</v>
      </c>
      <c r="P42" s="5">
        <v>1033.1001100000001</v>
      </c>
      <c r="Q42" s="5">
        <v>573.59987999999998</v>
      </c>
      <c r="R42" s="5">
        <v>925.30001300000004</v>
      </c>
      <c r="S42" s="5">
        <v>1090.3999290000002</v>
      </c>
      <c r="T42" s="5">
        <v>889.50012600000002</v>
      </c>
      <c r="U42">
        <f>110*1.854545</f>
        <v>203.99995000000001</v>
      </c>
      <c r="V42">
        <f>74*2.455405</f>
        <v>181.69996999999998</v>
      </c>
      <c r="W42">
        <f>55*1.974545</f>
        <v>108.599975</v>
      </c>
    </row>
    <row r="43" spans="1:23">
      <c r="A43" s="4">
        <v>205</v>
      </c>
      <c r="B43" s="5" t="s">
        <v>36</v>
      </c>
      <c r="C43" s="5">
        <f>43*1.34186</f>
        <v>57.699980000000004</v>
      </c>
      <c r="D43" s="5">
        <v>28.8</v>
      </c>
      <c r="E43" s="5">
        <v>94.919999999999987</v>
      </c>
      <c r="F43" s="5">
        <v>115.5</v>
      </c>
      <c r="G43" s="5">
        <v>77.899999999999991</v>
      </c>
      <c r="H43" s="5">
        <v>94.76</v>
      </c>
      <c r="I43" s="5">
        <v>72.8</v>
      </c>
      <c r="J43" s="5">
        <v>60</v>
      </c>
      <c r="K43" s="5">
        <v>44.66</v>
      </c>
      <c r="L43" s="5">
        <v>45.36</v>
      </c>
      <c r="M43" s="5">
        <v>40.299999999999997</v>
      </c>
      <c r="N43" s="5">
        <v>43.239999999999995</v>
      </c>
      <c r="O43" s="5">
        <v>31.86</v>
      </c>
      <c r="P43" s="5">
        <v>29.700000000000003</v>
      </c>
      <c r="Q43" s="5">
        <v>34.799999999999997</v>
      </c>
      <c r="R43" s="5">
        <v>36.500006999999997</v>
      </c>
      <c r="S43" s="5">
        <v>50.000000999999997</v>
      </c>
      <c r="T43" s="5">
        <v>28.900000000000002</v>
      </c>
      <c r="U43">
        <f>7*2.757143</f>
        <v>19.300001000000002</v>
      </c>
      <c r="V43">
        <f>3*4.6</f>
        <v>13.799999999999999</v>
      </c>
      <c r="W43">
        <f>4*1.175</f>
        <v>4.7</v>
      </c>
    </row>
    <row r="44" spans="1:23">
      <c r="A44" s="4">
        <v>210</v>
      </c>
      <c r="B44" s="5" t="s">
        <v>37</v>
      </c>
      <c r="C44" s="5">
        <f>96*1.108333</f>
        <v>106.399968</v>
      </c>
      <c r="D44" s="5">
        <v>106.02</v>
      </c>
      <c r="E44" s="5">
        <v>85.44</v>
      </c>
      <c r="F44" s="5">
        <v>62.980000000000004</v>
      </c>
      <c r="G44" s="5">
        <v>77.44</v>
      </c>
      <c r="H44" s="5">
        <v>102.12</v>
      </c>
      <c r="I44" s="5">
        <v>96.17</v>
      </c>
      <c r="J44" s="5">
        <v>71.55</v>
      </c>
      <c r="K44" s="5">
        <v>87.36</v>
      </c>
      <c r="L44" s="5">
        <v>167.04</v>
      </c>
      <c r="M44" s="5">
        <v>137.06</v>
      </c>
      <c r="N44" s="5">
        <v>93.809999999999988</v>
      </c>
      <c r="O44" s="5">
        <v>86.45</v>
      </c>
      <c r="P44" s="5">
        <v>69.900000199999994</v>
      </c>
      <c r="Q44" s="5">
        <v>87.500004000000004</v>
      </c>
      <c r="R44" s="5">
        <v>217.70001600000001</v>
      </c>
      <c r="S44" s="5">
        <v>177.300004</v>
      </c>
      <c r="T44" s="5">
        <v>83.100005999999993</v>
      </c>
      <c r="U44">
        <f>20*1.835</f>
        <v>36.700000000000003</v>
      </c>
      <c r="V44">
        <f>11*2.036364</f>
        <v>22.400003999999999</v>
      </c>
      <c r="W44">
        <f>26*1.846154</f>
        <v>48.000004000000004</v>
      </c>
    </row>
    <row r="45" spans="1:23">
      <c r="A45" s="4">
        <v>211</v>
      </c>
      <c r="B45" s="5" t="s">
        <v>38</v>
      </c>
      <c r="C45" s="5">
        <f>82*1.72561</f>
        <v>141.50002000000001</v>
      </c>
      <c r="D45" s="5">
        <v>156.52000000000001</v>
      </c>
      <c r="E45" s="5">
        <v>148.72</v>
      </c>
      <c r="F45" s="5">
        <v>237.5</v>
      </c>
      <c r="G45" s="5">
        <v>166.05</v>
      </c>
      <c r="H45" s="5">
        <v>117.72000000000001</v>
      </c>
      <c r="I45" s="5">
        <v>979.69999999999993</v>
      </c>
      <c r="J45" s="5">
        <v>124.32000000000001</v>
      </c>
      <c r="K45" s="5">
        <v>72.72</v>
      </c>
      <c r="L45" s="5">
        <v>72.760000000000005</v>
      </c>
      <c r="M45" s="5">
        <v>86.240000000000009</v>
      </c>
      <c r="N45" s="5">
        <v>104.16000000000001</v>
      </c>
      <c r="O45" s="5">
        <v>88.4</v>
      </c>
      <c r="P45" s="5">
        <v>64.400024000000002</v>
      </c>
      <c r="Q45" s="5">
        <v>56.900004000000003</v>
      </c>
      <c r="R45" s="5">
        <v>49.899989999999995</v>
      </c>
      <c r="S45" s="5">
        <v>52.8</v>
      </c>
      <c r="T45" s="5">
        <v>33</v>
      </c>
      <c r="U45">
        <f>8*2.35</f>
        <v>18.8</v>
      </c>
      <c r="V45">
        <f>2*2.05</f>
        <v>4.0999999999999996</v>
      </c>
      <c r="W45">
        <f>2*7.05</f>
        <v>14.1</v>
      </c>
    </row>
    <row r="46" spans="1:23">
      <c r="A46" s="4">
        <v>212</v>
      </c>
      <c r="B46" s="5" t="s">
        <v>39</v>
      </c>
      <c r="C46" s="5">
        <f>11*0.1</f>
        <v>1.1000000000000001</v>
      </c>
      <c r="D46" s="5">
        <v>4.2</v>
      </c>
      <c r="E46" s="5">
        <v>9.1199999999999992</v>
      </c>
      <c r="F46" s="5">
        <v>1.8</v>
      </c>
      <c r="G46" s="5">
        <v>8.17</v>
      </c>
      <c r="H46" s="5">
        <v>7.48</v>
      </c>
      <c r="I46" s="5">
        <v>7.1999999999999993</v>
      </c>
      <c r="J46" s="5">
        <v>21.84</v>
      </c>
      <c r="K46" s="5">
        <v>11.4</v>
      </c>
      <c r="L46" s="5">
        <v>12.35</v>
      </c>
      <c r="M46" s="5">
        <v>0.8</v>
      </c>
      <c r="N46" s="5">
        <v>8.9600000000000009</v>
      </c>
      <c r="O46" s="5">
        <v>7.15</v>
      </c>
      <c r="P46" s="5">
        <v>2.8000000000000003</v>
      </c>
      <c r="Q46" s="5">
        <v>10.1</v>
      </c>
      <c r="R46" s="5">
        <v>22.899995999999998</v>
      </c>
      <c r="S46" s="5">
        <v>2.9999997</v>
      </c>
      <c r="T46" s="5">
        <v>0.2</v>
      </c>
      <c r="U46" s="5">
        <v>0.1</v>
      </c>
      <c r="V46">
        <f>3*1.5</f>
        <v>4.5</v>
      </c>
      <c r="W46" s="5">
        <v>0.2</v>
      </c>
    </row>
    <row r="47" spans="1:23">
      <c r="A47" s="4">
        <v>220</v>
      </c>
      <c r="B47" s="5" t="s">
        <v>40</v>
      </c>
      <c r="C47" s="5">
        <f>324*1.207099</f>
        <v>391.100076</v>
      </c>
      <c r="D47" s="5">
        <v>647.11</v>
      </c>
      <c r="E47" s="5">
        <v>573.29999999999995</v>
      </c>
      <c r="F47" s="5">
        <v>633.83999999999992</v>
      </c>
      <c r="G47" s="5">
        <v>740.53</v>
      </c>
      <c r="H47" s="5">
        <v>747.81999999999994</v>
      </c>
      <c r="I47" s="5">
        <v>665.28</v>
      </c>
      <c r="J47" s="5">
        <v>606.4799999999999</v>
      </c>
      <c r="K47" s="5">
        <v>395.28000000000003</v>
      </c>
      <c r="L47" s="5">
        <v>465.52000000000004</v>
      </c>
      <c r="M47" s="5">
        <v>497.64</v>
      </c>
      <c r="N47" s="5">
        <v>529.58999999999992</v>
      </c>
      <c r="O47" s="5">
        <v>381.44</v>
      </c>
      <c r="P47" s="5">
        <v>423.30011200000001</v>
      </c>
      <c r="Q47" s="5">
        <v>448.40002499999997</v>
      </c>
      <c r="R47" s="5">
        <v>627.40001999999993</v>
      </c>
      <c r="S47" s="5">
        <v>846.39984000000004</v>
      </c>
      <c r="T47" s="5">
        <v>487.30012800000003</v>
      </c>
      <c r="U47">
        <f>99*2.00202</f>
        <v>198.19997999999998</v>
      </c>
      <c r="V47">
        <f>73*2.336986</f>
        <v>170.59997799999999</v>
      </c>
      <c r="W47">
        <v>91.6</v>
      </c>
    </row>
    <row r="48" spans="1:23">
      <c r="A48" s="4">
        <v>221</v>
      </c>
      <c r="B48" s="5" t="s">
        <v>41</v>
      </c>
      <c r="C48" s="5">
        <f>3*1.7</f>
        <v>5.0999999999999996</v>
      </c>
      <c r="D48" s="5">
        <v>0</v>
      </c>
      <c r="E48" s="5">
        <v>0</v>
      </c>
      <c r="F48" s="5">
        <v>0</v>
      </c>
      <c r="G48" s="5">
        <v>0.1</v>
      </c>
      <c r="H48" s="5">
        <v>0</v>
      </c>
      <c r="I48" s="5">
        <v>0</v>
      </c>
      <c r="J48" s="5">
        <v>0.1</v>
      </c>
      <c r="K48" s="5">
        <v>0</v>
      </c>
      <c r="L48" s="5">
        <v>0</v>
      </c>
      <c r="M48" s="5">
        <v>0.1</v>
      </c>
      <c r="N48" s="5">
        <v>0</v>
      </c>
      <c r="O48" s="5">
        <v>0</v>
      </c>
      <c r="P48" s="5">
        <v>0.1</v>
      </c>
      <c r="Q48" s="5">
        <v>0.1</v>
      </c>
      <c r="R48" s="5">
        <v>0.1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1:23">
      <c r="A49" s="4">
        <v>223</v>
      </c>
      <c r="B49" s="5" t="s">
        <v>42</v>
      </c>
      <c r="C49" s="5">
        <v>0.1</v>
      </c>
      <c r="D49" s="5">
        <v>0</v>
      </c>
      <c r="E49" s="5">
        <v>0.2</v>
      </c>
      <c r="F49" s="5">
        <v>4.9000000000000004</v>
      </c>
      <c r="G49" s="5">
        <v>0</v>
      </c>
      <c r="H49" s="5">
        <v>0</v>
      </c>
      <c r="I49" s="5">
        <v>0.3</v>
      </c>
      <c r="J49" s="5">
        <v>5.0999999999999996</v>
      </c>
      <c r="K49" s="5">
        <v>4.0999999999999996</v>
      </c>
      <c r="L49" s="5">
        <v>0</v>
      </c>
      <c r="M49" s="5">
        <v>2.2999999999999998</v>
      </c>
      <c r="N49" s="5">
        <v>0</v>
      </c>
      <c r="O49" s="5">
        <v>0</v>
      </c>
      <c r="P49" s="5">
        <v>0.1</v>
      </c>
      <c r="Q49" s="5">
        <v>0</v>
      </c>
      <c r="R49" s="5">
        <v>0</v>
      </c>
      <c r="S49" s="5">
        <v>0.1</v>
      </c>
      <c r="T49" s="5">
        <v>0</v>
      </c>
      <c r="U49" s="5">
        <v>0</v>
      </c>
      <c r="V49" s="5">
        <v>0.1</v>
      </c>
      <c r="W49" s="5">
        <v>0</v>
      </c>
    </row>
    <row r="50" spans="1:23">
      <c r="A50" s="4">
        <v>225</v>
      </c>
      <c r="B50" s="5" t="s">
        <v>43</v>
      </c>
      <c r="C50" s="5">
        <f>76*0.7789474</f>
        <v>59.200002399999995</v>
      </c>
      <c r="D50" s="5">
        <v>73.099999999999994</v>
      </c>
      <c r="E50" s="5">
        <v>62.099999999999994</v>
      </c>
      <c r="F50" s="5">
        <v>50.85</v>
      </c>
      <c r="G50" s="5">
        <v>85.86</v>
      </c>
      <c r="H50" s="5">
        <v>51.66</v>
      </c>
      <c r="I50" s="5">
        <v>98.6</v>
      </c>
      <c r="J50" s="5">
        <v>80.5</v>
      </c>
      <c r="K50" s="5">
        <v>96.17</v>
      </c>
      <c r="L50" s="5">
        <v>81.199999999999989</v>
      </c>
      <c r="M50" s="5">
        <v>74.099999999999994</v>
      </c>
      <c r="N50" s="5">
        <v>104.80999999999999</v>
      </c>
      <c r="O50" s="5">
        <v>131.72</v>
      </c>
      <c r="P50" s="5">
        <v>77.199997499999995</v>
      </c>
      <c r="Q50" s="5">
        <v>46.100009999999997</v>
      </c>
      <c r="R50" s="5">
        <v>80.500004000000004</v>
      </c>
      <c r="S50" s="5">
        <v>66.900019999999998</v>
      </c>
      <c r="T50" s="5">
        <v>47.099998400000004</v>
      </c>
      <c r="U50">
        <f>12*1.4</f>
        <v>16.799999999999997</v>
      </c>
      <c r="V50">
        <f>14*1.685714</f>
        <v>23.599995999999997</v>
      </c>
      <c r="W50" s="5">
        <v>0.2</v>
      </c>
    </row>
    <row r="51" spans="1:23">
      <c r="A51" s="4">
        <v>230</v>
      </c>
      <c r="B51" s="5" t="s">
        <v>44</v>
      </c>
      <c r="C51" s="5">
        <f>64*2.796875</f>
        <v>179</v>
      </c>
      <c r="D51" s="5">
        <v>72</v>
      </c>
      <c r="E51" s="5">
        <v>129.04999999999998</v>
      </c>
      <c r="F51" s="5">
        <v>131.56</v>
      </c>
      <c r="G51" s="5">
        <v>103.2</v>
      </c>
      <c r="H51" s="5">
        <v>150.88</v>
      </c>
      <c r="I51" s="5">
        <v>168.48000000000002</v>
      </c>
      <c r="J51" s="5">
        <v>105.04</v>
      </c>
      <c r="K51" s="5">
        <v>98.8</v>
      </c>
      <c r="L51" s="5">
        <v>97.37</v>
      </c>
      <c r="M51" s="5">
        <v>157.41</v>
      </c>
      <c r="N51" s="5">
        <v>130.67000000000002</v>
      </c>
      <c r="O51" s="5">
        <v>229.35</v>
      </c>
      <c r="P51" s="5">
        <v>127.00002000000001</v>
      </c>
      <c r="Q51" s="5">
        <v>304.5</v>
      </c>
      <c r="R51" s="5">
        <v>379.50002999999998</v>
      </c>
      <c r="S51" s="5">
        <v>235.30002799999997</v>
      </c>
      <c r="T51" s="5">
        <v>287.50001200000003</v>
      </c>
      <c r="U51">
        <f>19*2.263158</f>
        <v>43.000001999999995</v>
      </c>
      <c r="V51">
        <f>20*1.785</f>
        <v>35.699999999999996</v>
      </c>
      <c r="W51">
        <f>15*1.153333</f>
        <v>17.299994999999999</v>
      </c>
    </row>
    <row r="52" spans="1:23">
      <c r="A52" s="4">
        <v>232</v>
      </c>
      <c r="B52" s="5" t="s">
        <v>45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1:23">
      <c r="A53" s="4">
        <v>235</v>
      </c>
      <c r="B53" s="5" t="s">
        <v>46</v>
      </c>
      <c r="C53" s="5">
        <f>18*0.5555556</f>
        <v>10.0000008</v>
      </c>
      <c r="D53" s="5">
        <v>23.459999999999997</v>
      </c>
      <c r="E53" s="5">
        <v>56.43</v>
      </c>
      <c r="F53" s="5">
        <v>40.89</v>
      </c>
      <c r="G53" s="5">
        <v>35.700000000000003</v>
      </c>
      <c r="H53" s="5">
        <v>101.47999999999999</v>
      </c>
      <c r="I53" s="5">
        <v>68.680000000000007</v>
      </c>
      <c r="J53" s="5">
        <v>47.519999999999996</v>
      </c>
      <c r="K53" s="5">
        <v>27.36</v>
      </c>
      <c r="L53" s="5">
        <v>40.92</v>
      </c>
      <c r="M53" s="5">
        <v>49.2</v>
      </c>
      <c r="N53" s="5">
        <v>35.519999999999996</v>
      </c>
      <c r="O53" s="5">
        <v>13.26</v>
      </c>
      <c r="P53" s="5">
        <v>17.800003</v>
      </c>
      <c r="Q53" s="5">
        <v>28.000003</v>
      </c>
      <c r="R53" s="5">
        <v>12.7999998</v>
      </c>
      <c r="S53" s="5">
        <v>75.600000000000009</v>
      </c>
      <c r="T53" s="5">
        <v>24.200001</v>
      </c>
      <c r="U53">
        <f>4*2.375</f>
        <v>9.5</v>
      </c>
      <c r="V53">
        <f>5*0.52</f>
        <v>2.6</v>
      </c>
      <c r="W53">
        <f>7*1.771429</f>
        <v>12.400003</v>
      </c>
    </row>
    <row r="54" spans="1:23">
      <c r="A54" s="4">
        <v>255</v>
      </c>
      <c r="B54" s="5" t="s">
        <v>47</v>
      </c>
      <c r="C54" s="5">
        <f>195*1.125641</f>
        <v>219.49999499999998</v>
      </c>
      <c r="D54" s="5">
        <v>368.75</v>
      </c>
      <c r="E54" s="5">
        <v>381.79999999999995</v>
      </c>
      <c r="F54" s="5">
        <v>442.20000000000005</v>
      </c>
      <c r="G54" s="5">
        <v>416.90000000000003</v>
      </c>
      <c r="H54" s="5">
        <v>546.05999999999995</v>
      </c>
      <c r="I54" s="5">
        <v>446.42</v>
      </c>
      <c r="J54" s="5">
        <v>450.24</v>
      </c>
      <c r="K54" s="5">
        <v>415.72</v>
      </c>
      <c r="L54" s="5">
        <v>413.96000000000004</v>
      </c>
      <c r="M54" s="5">
        <v>290.40000000000003</v>
      </c>
      <c r="N54" s="5">
        <v>316.84000000000003</v>
      </c>
      <c r="O54" s="5">
        <v>397.79999999999995</v>
      </c>
      <c r="P54" s="5">
        <v>240.89989100000003</v>
      </c>
      <c r="Q54" s="5">
        <v>271.50003200000003</v>
      </c>
      <c r="R54" s="5">
        <v>427.99996800000002</v>
      </c>
      <c r="S54" s="5">
        <v>435.80001399999998</v>
      </c>
      <c r="T54" s="5">
        <v>435.10012499999999</v>
      </c>
      <c r="U54">
        <v>81.8</v>
      </c>
      <c r="V54">
        <v>99</v>
      </c>
      <c r="W54">
        <f>32*1.153125</f>
        <v>36.9</v>
      </c>
    </row>
    <row r="55" spans="1:23">
      <c r="A55" s="4">
        <v>290</v>
      </c>
      <c r="B55" s="5" t="s">
        <v>48</v>
      </c>
      <c r="C55" s="5">
        <f>35*2.045714</f>
        <v>71.599989999999991</v>
      </c>
      <c r="D55" s="5">
        <v>40.599999999999994</v>
      </c>
      <c r="E55" s="5">
        <v>52.259999999999991</v>
      </c>
      <c r="F55" s="5">
        <v>40.32</v>
      </c>
      <c r="G55" s="5">
        <v>60.199999999999996</v>
      </c>
      <c r="H55" s="5">
        <v>32.04</v>
      </c>
      <c r="I55" s="5">
        <v>37.200000000000003</v>
      </c>
      <c r="J55" s="5">
        <v>58.050000000000004</v>
      </c>
      <c r="K55" s="5">
        <v>67.600000000000009</v>
      </c>
      <c r="L55" s="5">
        <v>29.23</v>
      </c>
      <c r="M55" s="5">
        <v>79.38</v>
      </c>
      <c r="N55" s="5">
        <v>35.64</v>
      </c>
      <c r="O55" s="5">
        <v>27.400000000000002</v>
      </c>
      <c r="P55" s="5">
        <v>74</v>
      </c>
      <c r="Q55" s="5">
        <v>46.2</v>
      </c>
      <c r="R55" s="5">
        <v>153.10002499999999</v>
      </c>
      <c r="S55" s="5">
        <v>208.900012</v>
      </c>
      <c r="T55" s="5">
        <v>172.70000000000002</v>
      </c>
      <c r="U55">
        <f>14*3.664286</f>
        <v>51.300004000000001</v>
      </c>
      <c r="V55" s="5">
        <v>22</v>
      </c>
      <c r="W55">
        <f>4*2.375</f>
        <v>9.5</v>
      </c>
    </row>
    <row r="56" spans="1:23">
      <c r="A56" s="4">
        <v>305</v>
      </c>
      <c r="B56" s="5" t="s">
        <v>49</v>
      </c>
      <c r="C56" s="5">
        <f>17*2.4</f>
        <v>40.799999999999997</v>
      </c>
      <c r="D56" s="5">
        <v>37.44</v>
      </c>
      <c r="E56" s="5">
        <v>48.72</v>
      </c>
      <c r="F56" s="5">
        <v>19.399999999999999</v>
      </c>
      <c r="G56" s="5">
        <v>30.45</v>
      </c>
      <c r="H56" s="5">
        <v>65.5</v>
      </c>
      <c r="I56" s="5">
        <v>47.5</v>
      </c>
      <c r="J56" s="5">
        <v>29.6</v>
      </c>
      <c r="K56" s="5">
        <v>29.11</v>
      </c>
      <c r="L56" s="5">
        <v>33.97</v>
      </c>
      <c r="M56" s="5">
        <v>38.400000000000006</v>
      </c>
      <c r="N56" s="5">
        <v>51.25</v>
      </c>
      <c r="O56" s="5">
        <v>37.629999999999995</v>
      </c>
      <c r="P56" s="5">
        <v>23.299996</v>
      </c>
      <c r="Q56" s="5">
        <v>26.699991999999998</v>
      </c>
      <c r="R56" s="5">
        <v>73.3</v>
      </c>
      <c r="S56" s="5">
        <v>75.500015999999988</v>
      </c>
      <c r="T56" s="5">
        <v>58.000008000000001</v>
      </c>
      <c r="U56">
        <f>8*1.575</f>
        <v>12.6</v>
      </c>
      <c r="V56">
        <f>6*2.383333</f>
        <v>14.299997999999999</v>
      </c>
      <c r="W56">
        <f>7*1.957143</f>
        <v>13.700001</v>
      </c>
    </row>
    <row r="57" spans="1:23">
      <c r="A57" s="4">
        <v>310</v>
      </c>
      <c r="B57" s="5" t="s">
        <v>50</v>
      </c>
      <c r="C57" s="5">
        <f>15*2.34</f>
        <v>35.099999999999994</v>
      </c>
      <c r="D57" s="5">
        <v>29.28</v>
      </c>
      <c r="E57" s="5">
        <v>61.180000000000007</v>
      </c>
      <c r="F57" s="5">
        <v>27.43</v>
      </c>
      <c r="G57" s="5">
        <v>17.46</v>
      </c>
      <c r="H57" s="5">
        <v>90.61</v>
      </c>
      <c r="I57" s="5">
        <v>76.760000000000005</v>
      </c>
      <c r="J57" s="5">
        <v>26.28</v>
      </c>
      <c r="K57" s="5">
        <v>55.1</v>
      </c>
      <c r="L57" s="5">
        <v>31.92</v>
      </c>
      <c r="M57" s="5">
        <v>31.62</v>
      </c>
      <c r="N57" s="5">
        <v>44.18</v>
      </c>
      <c r="O57" s="5">
        <v>11.3</v>
      </c>
      <c r="P57" s="5">
        <v>15.399999999999999</v>
      </c>
      <c r="Q57" s="5">
        <v>19.099997999999999</v>
      </c>
      <c r="R57" s="5">
        <v>16.100000999999999</v>
      </c>
      <c r="S57" s="5">
        <v>34.700000000000003</v>
      </c>
      <c r="T57" s="5">
        <v>25.400004000000003</v>
      </c>
      <c r="U57" s="5">
        <v>9</v>
      </c>
      <c r="V57">
        <f>7*2.771429</f>
        <v>19.400002999999998</v>
      </c>
      <c r="W57" s="5">
        <v>4.4000000000000004</v>
      </c>
    </row>
    <row r="58" spans="1:23">
      <c r="A58" s="4">
        <v>316</v>
      </c>
      <c r="B58" s="5" t="s">
        <v>51</v>
      </c>
      <c r="C58" s="5">
        <v>0</v>
      </c>
      <c r="D58" s="5">
        <v>0</v>
      </c>
      <c r="E58" s="5">
        <v>0</v>
      </c>
      <c r="F58" s="5">
        <v>68.820000000000007</v>
      </c>
      <c r="G58" s="5">
        <v>40.74</v>
      </c>
      <c r="H58" s="5">
        <v>54.72</v>
      </c>
      <c r="I58" s="5">
        <v>74.100000000000009</v>
      </c>
      <c r="J58" s="5">
        <v>46.2</v>
      </c>
      <c r="K58" s="5">
        <v>15.400000000000002</v>
      </c>
      <c r="L58" s="5">
        <v>20.25</v>
      </c>
      <c r="M58" s="5">
        <v>45.12</v>
      </c>
      <c r="N58" s="5">
        <v>35.64</v>
      </c>
      <c r="O58" s="5">
        <v>48.72</v>
      </c>
      <c r="P58" s="5">
        <v>32.499999000000003</v>
      </c>
      <c r="Q58" s="5">
        <v>7.3</v>
      </c>
      <c r="R58" s="5">
        <v>54.9</v>
      </c>
      <c r="S58" s="5">
        <v>51.800004000000001</v>
      </c>
      <c r="T58" s="5">
        <v>54.2</v>
      </c>
      <c r="U58">
        <f>8*3.9</f>
        <v>31.2</v>
      </c>
      <c r="V58">
        <f>9*1.888889</f>
        <v>17.000001000000001</v>
      </c>
      <c r="W58" s="5">
        <v>4.4000000000000004</v>
      </c>
    </row>
    <row r="59" spans="1:23">
      <c r="A59" s="4">
        <v>317</v>
      </c>
      <c r="B59" s="5" t="s">
        <v>52</v>
      </c>
      <c r="C59" s="5">
        <v>0</v>
      </c>
      <c r="D59" s="5">
        <v>0</v>
      </c>
      <c r="E59" s="5">
        <v>0</v>
      </c>
      <c r="F59" s="5">
        <v>15.73</v>
      </c>
      <c r="G59" s="5">
        <v>20.91</v>
      </c>
      <c r="H59" s="5">
        <v>25.049999999999997</v>
      </c>
      <c r="I59" s="5">
        <v>27.72</v>
      </c>
      <c r="J59" s="5">
        <v>40.25</v>
      </c>
      <c r="K59" s="5">
        <v>11.9</v>
      </c>
      <c r="L59" s="5">
        <v>16.200000000000003</v>
      </c>
      <c r="M59" s="5">
        <v>13.11</v>
      </c>
      <c r="N59" s="5">
        <v>22.65</v>
      </c>
      <c r="O59" s="5">
        <v>13.68</v>
      </c>
      <c r="P59" s="5">
        <v>4.1999999999999993</v>
      </c>
      <c r="Q59" s="5">
        <v>18.8</v>
      </c>
      <c r="R59" s="5">
        <v>9.600003000000001</v>
      </c>
      <c r="S59" s="5">
        <v>17.100000000000001</v>
      </c>
      <c r="T59" s="5">
        <v>20.100000000000001</v>
      </c>
      <c r="U59" s="5">
        <v>2.2000000000000002</v>
      </c>
      <c r="V59">
        <f>6*3.633333</f>
        <v>21.799997999999999</v>
      </c>
      <c r="W59" s="5">
        <v>0.1</v>
      </c>
    </row>
    <row r="60" spans="1:23">
      <c r="A60" s="4">
        <v>325</v>
      </c>
      <c r="B60" s="5" t="s">
        <v>53</v>
      </c>
      <c r="C60" s="5">
        <f>127*1.207087</f>
        <v>153.300049</v>
      </c>
      <c r="D60" s="5">
        <v>234</v>
      </c>
      <c r="E60" s="5">
        <v>126.72</v>
      </c>
      <c r="F60" s="5">
        <v>179.01</v>
      </c>
      <c r="G60" s="5">
        <v>152.1</v>
      </c>
      <c r="H60" s="5">
        <v>153.4</v>
      </c>
      <c r="I60" s="5">
        <v>144.44</v>
      </c>
      <c r="J60" s="5">
        <v>158.34</v>
      </c>
      <c r="K60" s="5">
        <v>180.83</v>
      </c>
      <c r="L60" s="5">
        <v>150.92000000000002</v>
      </c>
      <c r="M60" s="5">
        <v>133.76</v>
      </c>
      <c r="N60" s="5">
        <v>186.69</v>
      </c>
      <c r="O60" s="5">
        <v>117.16</v>
      </c>
      <c r="P60" s="5">
        <v>180.30003199999999</v>
      </c>
      <c r="Q60" s="5">
        <v>117.599976</v>
      </c>
      <c r="R60" s="5">
        <v>411.80000999999999</v>
      </c>
      <c r="S60" s="5">
        <v>354.00003600000002</v>
      </c>
      <c r="T60" s="5">
        <v>205.30003499999998</v>
      </c>
      <c r="U60">
        <f>23*2.269565</f>
        <v>52.199995000000001</v>
      </c>
      <c r="V60">
        <f>31*1.880645</f>
        <v>58.299994999999996</v>
      </c>
      <c r="W60">
        <f>12*0.925</f>
        <v>11.100000000000001</v>
      </c>
    </row>
    <row r="61" spans="1:23">
      <c r="A61" s="4">
        <v>331</v>
      </c>
      <c r="B61" s="5" t="s">
        <v>54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</row>
    <row r="62" spans="1:23">
      <c r="A62" s="4">
        <v>338</v>
      </c>
      <c r="B62" s="5" t="s">
        <v>55</v>
      </c>
      <c r="C62" s="5">
        <v>0.1</v>
      </c>
      <c r="D62" s="5">
        <v>5.0999999999999996</v>
      </c>
      <c r="E62" s="5">
        <v>0</v>
      </c>
      <c r="F62" s="5">
        <v>5.9</v>
      </c>
      <c r="G62" s="5">
        <v>2.4</v>
      </c>
      <c r="H62" s="5">
        <v>7.68</v>
      </c>
      <c r="I62" s="5">
        <v>0</v>
      </c>
      <c r="J62" s="5">
        <v>0.2</v>
      </c>
      <c r="K62" s="5">
        <v>15.48</v>
      </c>
      <c r="L62" s="5">
        <v>2.6</v>
      </c>
      <c r="M62" s="5">
        <v>13.02</v>
      </c>
      <c r="N62" s="5">
        <v>9</v>
      </c>
      <c r="O62" s="5">
        <v>4.4000000000000004</v>
      </c>
      <c r="P62" s="5">
        <v>0</v>
      </c>
      <c r="Q62" s="5">
        <v>0</v>
      </c>
      <c r="R62" s="5">
        <v>2.2999999999999998</v>
      </c>
      <c r="S62" s="5">
        <v>4.5999990000000004</v>
      </c>
      <c r="T62" s="5">
        <v>4</v>
      </c>
      <c r="U62" s="5">
        <v>0</v>
      </c>
      <c r="V62" s="5">
        <v>5</v>
      </c>
      <c r="W62" s="5">
        <v>0</v>
      </c>
    </row>
    <row r="63" spans="1:23">
      <c r="A63" s="4">
        <v>339</v>
      </c>
      <c r="B63" s="5" t="s">
        <v>56</v>
      </c>
      <c r="C63" s="5">
        <f>21*2.438095</f>
        <v>51.199995000000001</v>
      </c>
      <c r="D63" s="5">
        <v>67.570000000000007</v>
      </c>
      <c r="E63" s="5">
        <v>67.28</v>
      </c>
      <c r="F63" s="5">
        <v>59.08</v>
      </c>
      <c r="G63" s="5">
        <v>42.12</v>
      </c>
      <c r="H63" s="5">
        <v>38.76</v>
      </c>
      <c r="I63" s="5">
        <v>32.89</v>
      </c>
      <c r="J63" s="5">
        <v>82.14</v>
      </c>
      <c r="K63" s="5">
        <v>299.97000000000003</v>
      </c>
      <c r="L63" s="5">
        <v>349.46</v>
      </c>
      <c r="M63" s="5">
        <v>126.88</v>
      </c>
      <c r="N63" s="5">
        <v>252.51</v>
      </c>
      <c r="O63" s="5">
        <v>38.72</v>
      </c>
      <c r="P63" s="5">
        <v>25.200000000000003</v>
      </c>
      <c r="Q63" s="5">
        <v>24.1</v>
      </c>
      <c r="R63" s="5">
        <v>28.6</v>
      </c>
      <c r="S63" s="5">
        <v>48.600006</v>
      </c>
      <c r="T63" s="5">
        <v>45.300005999999996</v>
      </c>
      <c r="U63" s="5">
        <v>4</v>
      </c>
      <c r="V63" s="5">
        <v>4.0999999999999996</v>
      </c>
      <c r="W63">
        <f>2*2.25</f>
        <v>4.5</v>
      </c>
    </row>
    <row r="64" spans="1:23">
      <c r="A64" s="4">
        <v>343</v>
      </c>
      <c r="B64" s="5" t="s">
        <v>57</v>
      </c>
      <c r="C64" s="5">
        <v>0</v>
      </c>
      <c r="D64" s="5">
        <v>0.1</v>
      </c>
      <c r="E64" s="5">
        <v>10.199999999999999</v>
      </c>
      <c r="F64" s="5">
        <v>23.16</v>
      </c>
      <c r="G64" s="5">
        <v>31.84</v>
      </c>
      <c r="H64" s="5">
        <v>4.1999999999999993</v>
      </c>
      <c r="I64" s="5">
        <v>14</v>
      </c>
      <c r="J64" s="5">
        <v>3</v>
      </c>
      <c r="K64" s="5">
        <v>14.5</v>
      </c>
      <c r="L64" s="5">
        <v>59.64</v>
      </c>
      <c r="M64" s="5">
        <v>24.93</v>
      </c>
      <c r="N64" s="5">
        <v>446.03000000000003</v>
      </c>
      <c r="O64" s="5">
        <v>14.299999999999999</v>
      </c>
      <c r="P64" s="5">
        <v>7.1</v>
      </c>
      <c r="Q64" s="5">
        <v>4.5999999999999996</v>
      </c>
      <c r="R64" s="5">
        <v>12.2</v>
      </c>
      <c r="S64" s="5">
        <v>4.5</v>
      </c>
      <c r="T64" s="5">
        <v>30.2</v>
      </c>
      <c r="U64" s="5">
        <v>2.2000000000000002</v>
      </c>
      <c r="V64" s="5">
        <v>0</v>
      </c>
      <c r="W64" s="5">
        <v>0</v>
      </c>
    </row>
    <row r="65" spans="1:23">
      <c r="A65" s="4">
        <v>344</v>
      </c>
      <c r="B65" s="5" t="s">
        <v>58</v>
      </c>
      <c r="C65" s="5">
        <v>0</v>
      </c>
      <c r="D65" s="5">
        <v>282.24</v>
      </c>
      <c r="E65" s="5">
        <v>230.1</v>
      </c>
      <c r="F65" s="5">
        <v>392.97999999999996</v>
      </c>
      <c r="G65" s="5">
        <v>164.42999999999998</v>
      </c>
      <c r="H65" s="5">
        <v>465.42999999999995</v>
      </c>
      <c r="I65" s="5">
        <v>149.76</v>
      </c>
      <c r="J65" s="5">
        <v>63.7</v>
      </c>
      <c r="K65" s="5">
        <v>38.22</v>
      </c>
      <c r="L65" s="5">
        <v>32.479999999999997</v>
      </c>
      <c r="M65" s="5">
        <v>31.11</v>
      </c>
      <c r="N65" s="5">
        <v>35.5</v>
      </c>
      <c r="O65" s="5">
        <v>62.400000000000006</v>
      </c>
      <c r="P65" s="5">
        <v>32.400000000000006</v>
      </c>
      <c r="Q65" s="5">
        <v>69.3</v>
      </c>
      <c r="R65" s="5">
        <v>84.400014999999996</v>
      </c>
      <c r="S65" s="5">
        <v>30</v>
      </c>
      <c r="T65" s="5">
        <v>17.399999999999999</v>
      </c>
      <c r="U65">
        <v>6.7</v>
      </c>
      <c r="V65" s="5">
        <v>4.4000000000000004</v>
      </c>
      <c r="W65" s="5">
        <v>4.4000000000000004</v>
      </c>
    </row>
    <row r="66" spans="1:23">
      <c r="A66" s="4">
        <v>345</v>
      </c>
      <c r="B66" s="5" t="s">
        <v>59</v>
      </c>
      <c r="C66" s="5">
        <f>33*3.481818</f>
        <v>114.89999400000001</v>
      </c>
      <c r="D66" s="5">
        <v>1268.8799999999999</v>
      </c>
      <c r="E66" s="5">
        <v>993.6</v>
      </c>
      <c r="F66" s="5">
        <v>788.64</v>
      </c>
      <c r="G66" s="5">
        <v>619.29999999999995</v>
      </c>
      <c r="H66" s="5">
        <v>463.74</v>
      </c>
      <c r="I66" s="5">
        <v>142.59</v>
      </c>
      <c r="J66" s="5">
        <v>87.6</v>
      </c>
      <c r="K66" s="5">
        <v>388.08</v>
      </c>
      <c r="L66" s="5">
        <v>771.72</v>
      </c>
      <c r="M66" s="5">
        <v>224.64000000000001</v>
      </c>
      <c r="N66" s="5">
        <v>200.1</v>
      </c>
      <c r="O66" s="5">
        <v>110.04</v>
      </c>
      <c r="P66" s="5">
        <v>50.400000000000006</v>
      </c>
      <c r="Q66" s="5">
        <v>22.600004000000002</v>
      </c>
      <c r="R66" s="5">
        <v>139.69999999999999</v>
      </c>
      <c r="S66" s="5">
        <v>49.200008000000004</v>
      </c>
      <c r="T66" s="5">
        <v>77.100000000000009</v>
      </c>
      <c r="U66" s="5">
        <v>45.9</v>
      </c>
      <c r="V66" s="5">
        <v>0.2</v>
      </c>
      <c r="W66">
        <f>2*1.15</f>
        <v>2.2999999999999998</v>
      </c>
    </row>
    <row r="67" spans="1:23">
      <c r="A67" s="4">
        <v>346</v>
      </c>
      <c r="B67" s="5" t="s">
        <v>60</v>
      </c>
      <c r="C67" s="5">
        <v>0</v>
      </c>
      <c r="D67" s="5">
        <v>0</v>
      </c>
      <c r="E67" s="5">
        <v>203.04000000000002</v>
      </c>
      <c r="F67" s="5">
        <v>353.76</v>
      </c>
      <c r="G67" s="5">
        <v>300.3</v>
      </c>
      <c r="H67" s="5">
        <v>510.39</v>
      </c>
      <c r="I67" s="5">
        <v>165.24</v>
      </c>
      <c r="J67" s="5">
        <v>51.03</v>
      </c>
      <c r="K67" s="5">
        <v>45</v>
      </c>
      <c r="L67" s="5">
        <v>13.09</v>
      </c>
      <c r="M67" s="5">
        <v>36.159999999999997</v>
      </c>
      <c r="N67" s="5">
        <v>51.68</v>
      </c>
      <c r="O67" s="5">
        <v>17.100000000000001</v>
      </c>
      <c r="P67" s="5">
        <v>0.2</v>
      </c>
      <c r="Q67" s="5">
        <v>5.0999999999999996</v>
      </c>
      <c r="R67" s="5">
        <v>52.900005</v>
      </c>
      <c r="S67" s="5">
        <v>41.6</v>
      </c>
      <c r="T67" s="5">
        <v>95</v>
      </c>
      <c r="U67">
        <f>5*3.12</f>
        <v>15.600000000000001</v>
      </c>
      <c r="V67">
        <f>3*4.266667</f>
        <v>12.800001</v>
      </c>
      <c r="W67" s="5">
        <v>0</v>
      </c>
    </row>
    <row r="68" spans="1:23">
      <c r="A68" s="4">
        <v>349</v>
      </c>
      <c r="B68" s="5" t="s">
        <v>61</v>
      </c>
      <c r="C68" s="5">
        <v>0</v>
      </c>
      <c r="D68" s="5">
        <v>54.18</v>
      </c>
      <c r="E68" s="5">
        <v>11.52</v>
      </c>
      <c r="F68" s="5">
        <v>0.1</v>
      </c>
      <c r="G68" s="5">
        <v>23.4</v>
      </c>
      <c r="H68" s="5">
        <v>7.92</v>
      </c>
      <c r="I68" s="5">
        <v>11.06</v>
      </c>
      <c r="J68" s="5">
        <v>0.8</v>
      </c>
      <c r="K68" s="5">
        <v>6.93</v>
      </c>
      <c r="L68" s="5">
        <v>32.479999999999997</v>
      </c>
      <c r="M68" s="5">
        <v>35.730000000000004</v>
      </c>
      <c r="N68" s="5">
        <v>25.74</v>
      </c>
      <c r="O68" s="5">
        <v>4.62</v>
      </c>
      <c r="P68" s="5">
        <v>2.2000000000000002</v>
      </c>
      <c r="Q68" s="5">
        <v>0</v>
      </c>
      <c r="R68" s="5">
        <v>4.4000000000000004</v>
      </c>
      <c r="S68" s="5">
        <v>0.2</v>
      </c>
      <c r="T68" s="5">
        <v>5.2</v>
      </c>
      <c r="U68">
        <f>7*1.685714</f>
        <v>11.799997999999999</v>
      </c>
      <c r="V68">
        <f>5*2.32</f>
        <v>11.6</v>
      </c>
      <c r="W68" s="5">
        <v>0</v>
      </c>
    </row>
    <row r="69" spans="1:23">
      <c r="A69" s="4">
        <v>350</v>
      </c>
      <c r="B69" s="5" t="s">
        <v>62</v>
      </c>
      <c r="C69" s="5">
        <f>33*2.666667</f>
        <v>88.000011000000001</v>
      </c>
      <c r="D69" s="5">
        <v>127.6</v>
      </c>
      <c r="E69" s="5">
        <v>129.36000000000001</v>
      </c>
      <c r="F69" s="5">
        <v>167.62</v>
      </c>
      <c r="G69" s="5">
        <v>237.38</v>
      </c>
      <c r="H69" s="5">
        <v>123.75999999999999</v>
      </c>
      <c r="I69" s="5">
        <v>191.66</v>
      </c>
      <c r="J69" s="5">
        <v>112.55999999999999</v>
      </c>
      <c r="K69" s="5">
        <v>84.7</v>
      </c>
      <c r="L69" s="5">
        <v>207.1</v>
      </c>
      <c r="M69" s="5">
        <v>124.19999999999999</v>
      </c>
      <c r="N69" s="5">
        <v>112.86</v>
      </c>
      <c r="O69" s="5">
        <v>83.26</v>
      </c>
      <c r="P69" s="5">
        <v>53.800009000000003</v>
      </c>
      <c r="Q69" s="5">
        <v>84.900012000000004</v>
      </c>
      <c r="R69" s="5">
        <v>142.80002400000001</v>
      </c>
      <c r="S69" s="5">
        <v>153.39998399999999</v>
      </c>
      <c r="T69" s="5">
        <v>101.7</v>
      </c>
      <c r="U69">
        <f>7*3.985714</f>
        <v>27.899998</v>
      </c>
      <c r="V69">
        <f>8*3.2875</f>
        <v>26.3</v>
      </c>
      <c r="W69">
        <f>16*4.3375</f>
        <v>69.400000000000006</v>
      </c>
    </row>
    <row r="70" spans="1:23">
      <c r="A70" s="4">
        <v>352</v>
      </c>
      <c r="B70" s="5" t="s">
        <v>63</v>
      </c>
      <c r="C70" s="5">
        <f>28*1.653571</f>
        <v>46.299987999999999</v>
      </c>
      <c r="D70" s="5">
        <v>59.400000000000006</v>
      </c>
      <c r="E70" s="5">
        <v>20.330000000000002</v>
      </c>
      <c r="F70" s="5">
        <v>38.86</v>
      </c>
      <c r="G70" s="5">
        <v>47.6</v>
      </c>
      <c r="H70" s="5">
        <v>60.32</v>
      </c>
      <c r="I70" s="5">
        <v>38.64</v>
      </c>
      <c r="J70" s="5">
        <v>66.600000000000009</v>
      </c>
      <c r="K70" s="5">
        <v>77.040000000000006</v>
      </c>
      <c r="L70" s="5">
        <v>58.52</v>
      </c>
      <c r="M70" s="5">
        <v>38.080000000000005</v>
      </c>
      <c r="N70" s="5">
        <v>41.44</v>
      </c>
      <c r="O70" s="5">
        <v>17.04</v>
      </c>
      <c r="P70" s="5">
        <v>7.9000020000000006</v>
      </c>
      <c r="Q70" s="5">
        <v>24.999996000000003</v>
      </c>
      <c r="R70" s="5">
        <v>55.199987999999998</v>
      </c>
      <c r="S70" s="5">
        <v>105.100015</v>
      </c>
      <c r="T70" s="5">
        <v>57.899994</v>
      </c>
      <c r="U70">
        <f>3*3.4</f>
        <v>10.199999999999999</v>
      </c>
      <c r="V70" s="5">
        <v>0.5</v>
      </c>
      <c r="W70" s="5">
        <v>0.3</v>
      </c>
    </row>
    <row r="71" spans="1:23">
      <c r="A71" s="4">
        <v>355</v>
      </c>
      <c r="B71" s="5" t="s">
        <v>64</v>
      </c>
      <c r="C71" s="5">
        <f>12*2.366667</f>
        <v>28.400004000000003</v>
      </c>
      <c r="D71" s="5">
        <v>37.44</v>
      </c>
      <c r="E71" s="5">
        <v>43.650000000000006</v>
      </c>
      <c r="F71" s="5">
        <v>79.5</v>
      </c>
      <c r="G71" s="5">
        <v>32.49</v>
      </c>
      <c r="H71" s="5">
        <v>40.589999999999996</v>
      </c>
      <c r="I71" s="5">
        <v>94.24</v>
      </c>
      <c r="J71" s="5">
        <v>63</v>
      </c>
      <c r="K71" s="5">
        <v>29.28</v>
      </c>
      <c r="L71" s="5">
        <v>55.199999999999996</v>
      </c>
      <c r="M71" s="5">
        <v>159.12</v>
      </c>
      <c r="N71" s="5">
        <v>101.75</v>
      </c>
      <c r="O71" s="5">
        <v>41.25</v>
      </c>
      <c r="P71" s="5">
        <v>37.099997999999999</v>
      </c>
      <c r="Q71" s="5">
        <v>34.200000000000003</v>
      </c>
      <c r="R71" s="5">
        <v>44.099999999999994</v>
      </c>
      <c r="S71" s="5">
        <v>48.099996000000004</v>
      </c>
      <c r="T71" s="5">
        <v>79.400002000000001</v>
      </c>
      <c r="U71">
        <f>4*5.55</f>
        <v>22.2</v>
      </c>
      <c r="V71">
        <f>4*3.675</f>
        <v>14.7</v>
      </c>
      <c r="W71" s="5">
        <v>0</v>
      </c>
    </row>
    <row r="72" spans="1:23">
      <c r="A72" s="4">
        <v>359</v>
      </c>
      <c r="B72" s="5" t="s">
        <v>65</v>
      </c>
      <c r="C72" s="5">
        <v>0</v>
      </c>
      <c r="D72" s="5">
        <v>17.12</v>
      </c>
      <c r="E72" s="5">
        <v>31.44</v>
      </c>
      <c r="F72" s="5">
        <v>17.709999999999997</v>
      </c>
      <c r="G72" s="5">
        <v>12</v>
      </c>
      <c r="H72" s="5">
        <v>16.099999999999998</v>
      </c>
      <c r="I72" s="5">
        <v>0.3</v>
      </c>
      <c r="J72" s="5">
        <v>0.3</v>
      </c>
      <c r="K72" s="5">
        <v>0.3</v>
      </c>
      <c r="L72" s="5">
        <v>9.39</v>
      </c>
      <c r="M72" s="5">
        <v>0</v>
      </c>
      <c r="N72" s="5">
        <v>5</v>
      </c>
      <c r="O72" s="5">
        <v>4.9000000000000004</v>
      </c>
      <c r="P72" s="5">
        <v>4.9000000000000004</v>
      </c>
      <c r="Q72" s="5">
        <v>0</v>
      </c>
      <c r="R72" s="5">
        <v>10.3</v>
      </c>
      <c r="S72" s="5">
        <v>0.2</v>
      </c>
      <c r="T72" s="5">
        <v>37</v>
      </c>
      <c r="U72" s="5">
        <v>0</v>
      </c>
      <c r="V72" s="5">
        <v>0.1</v>
      </c>
      <c r="W72" s="5">
        <v>0</v>
      </c>
    </row>
    <row r="73" spans="1:23">
      <c r="A73" s="4">
        <v>360</v>
      </c>
      <c r="B73" s="5" t="s">
        <v>66</v>
      </c>
      <c r="C73" s="5">
        <f>31*2.964516</f>
        <v>91.899996000000002</v>
      </c>
      <c r="D73" s="5">
        <v>17.46</v>
      </c>
      <c r="E73" s="5">
        <v>69.44</v>
      </c>
      <c r="F73" s="5">
        <v>85.800000000000011</v>
      </c>
      <c r="G73" s="5">
        <v>40.300000000000004</v>
      </c>
      <c r="H73" s="5">
        <v>78.959999999999994</v>
      </c>
      <c r="I73" s="5">
        <v>69.94</v>
      </c>
      <c r="J73" s="5">
        <v>31.200000000000003</v>
      </c>
      <c r="K73" s="5">
        <v>16.8</v>
      </c>
      <c r="L73" s="5">
        <v>40.94</v>
      </c>
      <c r="M73" s="5">
        <v>36.480000000000004</v>
      </c>
      <c r="N73" s="5">
        <v>9.6199999999999992</v>
      </c>
      <c r="O73" s="5">
        <v>14.8</v>
      </c>
      <c r="P73" s="5">
        <v>45.100006</v>
      </c>
      <c r="Q73" s="5">
        <v>43.300007999999998</v>
      </c>
      <c r="R73" s="5">
        <v>34.500003999999997</v>
      </c>
      <c r="S73" s="5">
        <v>60.199998999999998</v>
      </c>
      <c r="T73" s="5">
        <v>54.3</v>
      </c>
      <c r="U73" s="5">
        <v>2.2000000000000002</v>
      </c>
      <c r="V73" s="5">
        <v>4.4000000000000004</v>
      </c>
      <c r="W73" s="5">
        <v>7.6</v>
      </c>
    </row>
    <row r="74" spans="1:23">
      <c r="A74" s="4">
        <v>365</v>
      </c>
      <c r="B74" s="5" t="s">
        <v>67</v>
      </c>
      <c r="C74" s="5">
        <f>12*0.6833333</f>
        <v>8.1999995999999999</v>
      </c>
      <c r="D74" s="5">
        <v>99.9</v>
      </c>
      <c r="E74" s="5">
        <v>426.8</v>
      </c>
      <c r="F74" s="5">
        <v>537.6</v>
      </c>
      <c r="G74" s="5">
        <v>494.1</v>
      </c>
      <c r="H74" s="5">
        <v>527.35</v>
      </c>
      <c r="I74" s="5">
        <v>372.32</v>
      </c>
      <c r="J74" s="5">
        <v>345.06</v>
      </c>
      <c r="K74" s="5">
        <v>544.32000000000005</v>
      </c>
      <c r="L74" s="5">
        <v>557.46</v>
      </c>
      <c r="M74" s="5">
        <v>449.98</v>
      </c>
      <c r="N74" s="5">
        <v>469.7</v>
      </c>
      <c r="O74" s="5">
        <v>348.5</v>
      </c>
      <c r="P74" s="5">
        <v>204.3</v>
      </c>
      <c r="Q74" s="5">
        <v>230.80002899999999</v>
      </c>
      <c r="R74" s="5">
        <v>690.70013400000005</v>
      </c>
      <c r="S74" s="5">
        <v>1252.9998839999998</v>
      </c>
      <c r="T74" s="5">
        <v>1096.699824</v>
      </c>
      <c r="U74">
        <f>191*3.221466</f>
        <v>615.30000599999994</v>
      </c>
      <c r="V74">
        <f>127*1.977165</f>
        <v>251.09995499999999</v>
      </c>
      <c r="W74">
        <f>82*1.782927</f>
        <v>146.20001399999998</v>
      </c>
    </row>
    <row r="75" spans="1:23">
      <c r="A75" s="4">
        <v>366</v>
      </c>
      <c r="B75" s="5" t="s">
        <v>68</v>
      </c>
      <c r="C75" s="5">
        <v>0</v>
      </c>
      <c r="D75" s="5">
        <v>0.1</v>
      </c>
      <c r="E75" s="5">
        <v>24.57</v>
      </c>
      <c r="F75" s="5">
        <v>18.96</v>
      </c>
      <c r="G75" s="5">
        <v>19.919999999999998</v>
      </c>
      <c r="H75" s="5">
        <v>11.7</v>
      </c>
      <c r="I75" s="5">
        <v>6.5</v>
      </c>
      <c r="J75" s="5">
        <v>25.200000000000003</v>
      </c>
      <c r="K75" s="5">
        <v>15.180000000000001</v>
      </c>
      <c r="L75" s="5">
        <v>17.600000000000001</v>
      </c>
      <c r="M75" s="5">
        <v>19.8</v>
      </c>
      <c r="N75" s="5">
        <v>14.56</v>
      </c>
      <c r="O75" s="5">
        <v>0.5</v>
      </c>
      <c r="P75" s="5">
        <v>4</v>
      </c>
      <c r="Q75" s="5">
        <v>14.2</v>
      </c>
      <c r="R75" s="5">
        <v>16.8</v>
      </c>
      <c r="S75" s="5">
        <v>15.1</v>
      </c>
      <c r="T75" s="5">
        <v>29.799996</v>
      </c>
      <c r="U75" s="5">
        <v>2.2000000000000002</v>
      </c>
      <c r="V75" s="5">
        <v>0.1</v>
      </c>
      <c r="W75" s="5">
        <v>0</v>
      </c>
    </row>
    <row r="76" spans="1:23">
      <c r="A76" s="4">
        <v>367</v>
      </c>
      <c r="B76" s="5" t="s">
        <v>69</v>
      </c>
      <c r="C76" s="5">
        <v>0</v>
      </c>
      <c r="D76" s="5">
        <v>7.6</v>
      </c>
      <c r="E76" s="5">
        <v>13.919999999999998</v>
      </c>
      <c r="F76" s="5">
        <v>7.02</v>
      </c>
      <c r="G76" s="5">
        <v>9.6999999999999993</v>
      </c>
      <c r="H76" s="5">
        <v>5.32</v>
      </c>
      <c r="I76" s="5">
        <v>4.32</v>
      </c>
      <c r="J76" s="5">
        <v>29.700000000000003</v>
      </c>
      <c r="K76" s="5">
        <v>19.11</v>
      </c>
      <c r="L76" s="5">
        <v>10.360000000000001</v>
      </c>
      <c r="M76" s="5">
        <v>24</v>
      </c>
      <c r="N76" s="5">
        <v>31.2</v>
      </c>
      <c r="O76" s="5">
        <v>0.2</v>
      </c>
      <c r="P76" s="5">
        <v>0.30000000000000004</v>
      </c>
      <c r="Q76" s="5">
        <v>14.2</v>
      </c>
      <c r="R76" s="5">
        <v>11.700000000000001</v>
      </c>
      <c r="S76" s="5">
        <v>5.8000001999999995</v>
      </c>
      <c r="T76" s="5">
        <v>15.5</v>
      </c>
      <c r="U76">
        <f>5*5.44</f>
        <v>27.200000000000003</v>
      </c>
      <c r="V76" s="5">
        <v>0</v>
      </c>
      <c r="W76">
        <v>6.5</v>
      </c>
    </row>
    <row r="77" spans="1:23">
      <c r="A77" s="4">
        <v>368</v>
      </c>
      <c r="B77" s="5" t="s">
        <v>70</v>
      </c>
      <c r="C77" s="5">
        <v>0</v>
      </c>
      <c r="D77" s="5">
        <v>6.6000000000000005</v>
      </c>
      <c r="E77" s="5">
        <v>24.75</v>
      </c>
      <c r="F77" s="5">
        <v>7</v>
      </c>
      <c r="G77" s="5">
        <v>13</v>
      </c>
      <c r="H77" s="5">
        <v>10</v>
      </c>
      <c r="I77" s="5">
        <v>15.57</v>
      </c>
      <c r="J77" s="5">
        <v>9.1800000000000015</v>
      </c>
      <c r="K77" s="5">
        <v>19</v>
      </c>
      <c r="L77" s="5">
        <v>22.259999999999998</v>
      </c>
      <c r="M77" s="5">
        <v>23.66</v>
      </c>
      <c r="N77" s="5">
        <v>11.549999999999999</v>
      </c>
      <c r="O77" s="5">
        <v>4.95</v>
      </c>
      <c r="P77" s="5">
        <v>17.799999</v>
      </c>
      <c r="Q77" s="5">
        <v>13.8</v>
      </c>
      <c r="R77" s="5">
        <v>10.7</v>
      </c>
      <c r="S77" s="5">
        <v>48.2</v>
      </c>
      <c r="T77" s="5">
        <v>10.8</v>
      </c>
      <c r="U77">
        <v>8.9</v>
      </c>
      <c r="V77">
        <f>2*4.85</f>
        <v>9.6999999999999993</v>
      </c>
      <c r="W77" s="5">
        <v>0.1</v>
      </c>
    </row>
    <row r="78" spans="1:23">
      <c r="A78" s="4">
        <v>369</v>
      </c>
      <c r="B78" s="5" t="s">
        <v>71</v>
      </c>
      <c r="C78" s="5">
        <v>0</v>
      </c>
      <c r="D78" s="5">
        <v>6.6899999999999995</v>
      </c>
      <c r="E78" s="5">
        <v>93.53</v>
      </c>
      <c r="F78" s="5">
        <v>90.78</v>
      </c>
      <c r="G78" s="5">
        <v>46.8</v>
      </c>
      <c r="H78" s="5">
        <v>52.15</v>
      </c>
      <c r="I78" s="5">
        <v>63.6</v>
      </c>
      <c r="J78" s="5">
        <v>38.4</v>
      </c>
      <c r="K78" s="5">
        <v>56.1</v>
      </c>
      <c r="L78" s="5">
        <v>35.1</v>
      </c>
      <c r="M78" s="5">
        <v>26</v>
      </c>
      <c r="N78" s="5">
        <v>44.48</v>
      </c>
      <c r="O78" s="5">
        <v>18.48</v>
      </c>
      <c r="P78" s="5">
        <v>27.299994000000002</v>
      </c>
      <c r="Q78" s="5">
        <v>33</v>
      </c>
      <c r="R78" s="5">
        <v>54.299999</v>
      </c>
      <c r="S78" s="5">
        <v>120.1</v>
      </c>
      <c r="T78" s="5">
        <v>35.299999999999997</v>
      </c>
      <c r="U78">
        <f>9*1.488889</f>
        <v>13.400001</v>
      </c>
      <c r="V78">
        <f>13*1.646154</f>
        <v>21.400001999999997</v>
      </c>
      <c r="W78" s="5">
        <v>5.6</v>
      </c>
    </row>
    <row r="79" spans="1:23">
      <c r="A79" s="4">
        <v>370</v>
      </c>
      <c r="B79" s="5" t="s">
        <v>72</v>
      </c>
      <c r="C79" s="5">
        <v>0</v>
      </c>
      <c r="D79" s="5">
        <v>0</v>
      </c>
      <c r="E79" s="5">
        <v>2.6</v>
      </c>
      <c r="F79" s="5">
        <v>0.5</v>
      </c>
      <c r="G79" s="5">
        <v>5.32</v>
      </c>
      <c r="H79" s="5">
        <v>0.3</v>
      </c>
      <c r="I79" s="5">
        <v>21.15</v>
      </c>
      <c r="J79" s="5">
        <v>56.49</v>
      </c>
      <c r="K79" s="5">
        <v>10.56</v>
      </c>
      <c r="L79" s="5">
        <v>14.4</v>
      </c>
      <c r="M79" s="5">
        <v>32.339999999999996</v>
      </c>
      <c r="N79" s="5">
        <v>19.62</v>
      </c>
      <c r="O79" s="5">
        <v>5.4</v>
      </c>
      <c r="P79" s="5">
        <v>15.6</v>
      </c>
      <c r="Q79" s="5">
        <v>28.8</v>
      </c>
      <c r="R79" s="5">
        <v>92.600000000000009</v>
      </c>
      <c r="S79" s="5">
        <v>55.399994999999997</v>
      </c>
      <c r="T79" s="5">
        <v>78.5</v>
      </c>
      <c r="U79">
        <f>5*1.9</f>
        <v>9.5</v>
      </c>
      <c r="V79" s="5">
        <v>8</v>
      </c>
      <c r="W79">
        <v>8.8000000000000007</v>
      </c>
    </row>
    <row r="80" spans="1:23">
      <c r="A80" s="4">
        <v>371</v>
      </c>
      <c r="B80" s="5" t="s">
        <v>73</v>
      </c>
      <c r="C80" s="5">
        <v>0</v>
      </c>
      <c r="D80" s="5">
        <v>0.3</v>
      </c>
      <c r="E80" s="5">
        <v>169.82999999999998</v>
      </c>
      <c r="F80" s="5">
        <v>77.180000000000007</v>
      </c>
      <c r="G80" s="5">
        <v>10.4</v>
      </c>
      <c r="H80" s="5">
        <v>10</v>
      </c>
      <c r="I80" s="5">
        <v>0</v>
      </c>
      <c r="J80" s="5">
        <v>12.78</v>
      </c>
      <c r="K80" s="5">
        <v>2.2000000000000002</v>
      </c>
      <c r="L80" s="5">
        <v>0.2</v>
      </c>
      <c r="M80" s="5">
        <v>0</v>
      </c>
      <c r="N80" s="5">
        <v>0.6</v>
      </c>
      <c r="O80" s="5">
        <v>0</v>
      </c>
      <c r="P80" s="5">
        <v>0</v>
      </c>
      <c r="Q80" s="5">
        <v>0.1</v>
      </c>
      <c r="R80" s="5">
        <v>23.599997999999999</v>
      </c>
      <c r="S80" s="5">
        <v>24.9</v>
      </c>
      <c r="T80" s="5">
        <v>8.6999999999999993</v>
      </c>
      <c r="U80" s="5">
        <v>0.2</v>
      </c>
      <c r="V80" s="5">
        <v>10</v>
      </c>
      <c r="W80" s="5">
        <v>9.6</v>
      </c>
    </row>
    <row r="81" spans="1:23">
      <c r="A81" s="4">
        <v>372</v>
      </c>
      <c r="B81" s="5" t="s">
        <v>74</v>
      </c>
      <c r="C81" s="5">
        <v>0</v>
      </c>
      <c r="D81" s="5">
        <v>4.71</v>
      </c>
      <c r="E81" s="5">
        <v>52.56</v>
      </c>
      <c r="F81" s="5">
        <v>90.28</v>
      </c>
      <c r="G81" s="5">
        <v>22.44</v>
      </c>
      <c r="H81" s="5">
        <v>29.64</v>
      </c>
      <c r="I81" s="5">
        <v>25.85</v>
      </c>
      <c r="J81" s="5">
        <v>34.770000000000003</v>
      </c>
      <c r="K81" s="5">
        <v>6.8</v>
      </c>
      <c r="L81" s="5">
        <v>38.339999999999996</v>
      </c>
      <c r="M81" s="5">
        <v>4.8000000000000007</v>
      </c>
      <c r="N81" s="5">
        <v>29.58</v>
      </c>
      <c r="O81" s="5">
        <v>39.33</v>
      </c>
      <c r="P81" s="5">
        <v>6.7</v>
      </c>
      <c r="Q81" s="5">
        <v>30.599999999999998</v>
      </c>
      <c r="R81" s="5">
        <v>106.299999</v>
      </c>
      <c r="S81" s="5">
        <v>130.20001199999999</v>
      </c>
      <c r="T81" s="5">
        <v>125.80001999999999</v>
      </c>
      <c r="U81">
        <f>49*2.614286</f>
        <v>128.10001399999999</v>
      </c>
      <c r="V81" s="5">
        <v>9.5</v>
      </c>
      <c r="W81" s="5">
        <v>14.4</v>
      </c>
    </row>
    <row r="82" spans="1:23">
      <c r="A82" s="4">
        <v>373</v>
      </c>
      <c r="B82" s="5" t="s">
        <v>75</v>
      </c>
      <c r="C82" s="5">
        <v>0</v>
      </c>
      <c r="D82" s="5">
        <v>17.12</v>
      </c>
      <c r="E82" s="5">
        <v>190.46</v>
      </c>
      <c r="F82" s="5">
        <v>119.31</v>
      </c>
      <c r="G82" s="5">
        <v>24.12</v>
      </c>
      <c r="H82" s="5">
        <v>26.88</v>
      </c>
      <c r="I82" s="5">
        <v>21</v>
      </c>
      <c r="J82" s="5">
        <v>37.44</v>
      </c>
      <c r="K82" s="5">
        <v>35.699999999999996</v>
      </c>
      <c r="L82" s="5">
        <v>45.26</v>
      </c>
      <c r="M82" s="5">
        <v>37.730000000000004</v>
      </c>
      <c r="N82" s="5">
        <v>30.24</v>
      </c>
      <c r="O82" s="5">
        <v>15.400000000000002</v>
      </c>
      <c r="P82" s="5">
        <v>19.2999996</v>
      </c>
      <c r="Q82" s="5">
        <v>26.299988000000003</v>
      </c>
      <c r="R82" s="5">
        <v>88.699984999999998</v>
      </c>
      <c r="S82" s="5">
        <v>65.999984999999995</v>
      </c>
      <c r="T82" s="5">
        <v>61.600000000000009</v>
      </c>
      <c r="U82">
        <v>9.3000000000000007</v>
      </c>
      <c r="V82">
        <f>15*2.4</f>
        <v>36</v>
      </c>
      <c r="W82">
        <f>6*0.45</f>
        <v>2.7</v>
      </c>
    </row>
    <row r="83" spans="1:23">
      <c r="A83" s="4">
        <v>375</v>
      </c>
      <c r="B83" s="5" t="s">
        <v>76</v>
      </c>
      <c r="C83" s="5">
        <f>33*0.4848485</f>
        <v>16.000000499999999</v>
      </c>
      <c r="D83" s="5">
        <v>16.240000000000002</v>
      </c>
      <c r="E83" s="5">
        <v>13.629999999999999</v>
      </c>
      <c r="F83" s="5">
        <v>13.799999999999999</v>
      </c>
      <c r="G83" s="5">
        <v>8.36</v>
      </c>
      <c r="H83" s="5">
        <v>26.22</v>
      </c>
      <c r="I83" s="5">
        <v>34.56</v>
      </c>
      <c r="J83" s="5">
        <v>41.480000000000004</v>
      </c>
      <c r="K83" s="5">
        <v>56.440000000000005</v>
      </c>
      <c r="L83" s="5">
        <v>68.78</v>
      </c>
      <c r="M83" s="5">
        <v>59.4</v>
      </c>
      <c r="N83" s="5">
        <v>36.630000000000003</v>
      </c>
      <c r="O83" s="5">
        <v>23.14</v>
      </c>
      <c r="P83" s="5">
        <v>24.399998700000001</v>
      </c>
      <c r="Q83" s="5">
        <v>19.899998999999998</v>
      </c>
      <c r="R83" s="5">
        <v>35.6</v>
      </c>
      <c r="S83" s="5">
        <v>73.200023999999999</v>
      </c>
      <c r="T83" s="5">
        <v>24.3</v>
      </c>
      <c r="U83">
        <f>3*0.8</f>
        <v>2.4000000000000004</v>
      </c>
      <c r="V83" s="5">
        <v>0.1</v>
      </c>
      <c r="W83">
        <f>4*1.3</f>
        <v>5.2</v>
      </c>
    </row>
    <row r="84" spans="1:23">
      <c r="A84" s="4">
        <v>380</v>
      </c>
      <c r="B84" s="5" t="s">
        <v>77</v>
      </c>
      <c r="C84" s="5">
        <f>82*0.4121951</f>
        <v>33.799998199999997</v>
      </c>
      <c r="D84" s="5">
        <v>61.56</v>
      </c>
      <c r="E84" s="5">
        <v>56.28</v>
      </c>
      <c r="F84" s="5">
        <v>77.400000000000006</v>
      </c>
      <c r="G84" s="5">
        <v>54.9</v>
      </c>
      <c r="H84" s="5">
        <v>99.399999999999991</v>
      </c>
      <c r="I84" s="5">
        <v>42</v>
      </c>
      <c r="J84" s="5">
        <v>26.18</v>
      </c>
      <c r="K84" s="5">
        <v>75.67</v>
      </c>
      <c r="L84" s="5">
        <v>69.52</v>
      </c>
      <c r="M84" s="5">
        <v>53.04</v>
      </c>
      <c r="N84" s="5">
        <v>37.799999999999997</v>
      </c>
      <c r="O84" s="5">
        <v>132</v>
      </c>
      <c r="P84" s="5">
        <v>43.699985000000005</v>
      </c>
      <c r="Q84" s="5">
        <v>78.300014000000004</v>
      </c>
      <c r="R84" s="5">
        <v>67.399990000000003</v>
      </c>
      <c r="S84" s="5">
        <v>51.300000000000004</v>
      </c>
      <c r="T84" s="5">
        <v>44.000009999999996</v>
      </c>
      <c r="U84">
        <f>5*2.38</f>
        <v>11.899999999999999</v>
      </c>
      <c r="V84">
        <f>18*1.488889</f>
        <v>26.800001999999999</v>
      </c>
      <c r="W84">
        <f>3*0.8</f>
        <v>2.4000000000000004</v>
      </c>
    </row>
    <row r="85" spans="1:23">
      <c r="A85" s="4">
        <v>385</v>
      </c>
      <c r="B85" s="5" t="s">
        <v>78</v>
      </c>
      <c r="C85" s="5">
        <f>29*0.8344828</f>
        <v>24.200001199999999</v>
      </c>
      <c r="D85" s="5">
        <v>31.590000000000003</v>
      </c>
      <c r="E85" s="5">
        <v>55.650000000000006</v>
      </c>
      <c r="F85" s="5">
        <v>22.880000000000003</v>
      </c>
      <c r="G85" s="5">
        <v>29.6</v>
      </c>
      <c r="H85" s="5">
        <v>58.96</v>
      </c>
      <c r="I85" s="5">
        <v>27.599999999999998</v>
      </c>
      <c r="J85" s="5">
        <v>26.1</v>
      </c>
      <c r="K85" s="5">
        <v>69.52</v>
      </c>
      <c r="L85" s="5">
        <v>40.700000000000003</v>
      </c>
      <c r="M85" s="5">
        <v>60.42</v>
      </c>
      <c r="N85" s="5">
        <v>48.91</v>
      </c>
      <c r="O85" s="5">
        <v>33.5</v>
      </c>
      <c r="P85" s="5">
        <v>44.2999984</v>
      </c>
      <c r="Q85" s="5">
        <v>45.000005999999999</v>
      </c>
      <c r="R85" s="5">
        <v>43.899996999999999</v>
      </c>
      <c r="S85" s="5">
        <v>37.999998999999995</v>
      </c>
      <c r="T85" s="5">
        <v>80.400008</v>
      </c>
      <c r="U85">
        <f>16*0.71875</f>
        <v>11.5</v>
      </c>
      <c r="V85">
        <f>6*0.8</f>
        <v>4.8000000000000007</v>
      </c>
      <c r="W85">
        <f>2*0.6</f>
        <v>1.2</v>
      </c>
    </row>
    <row r="86" spans="1:23">
      <c r="A86" s="4">
        <v>390</v>
      </c>
      <c r="B86" s="5" t="s">
        <v>79</v>
      </c>
      <c r="C86" s="5">
        <f>21*1.138095</f>
        <v>23.899995000000001</v>
      </c>
      <c r="D86" s="5">
        <v>23.779999999999998</v>
      </c>
      <c r="E86" s="5">
        <v>26.650000000000002</v>
      </c>
      <c r="F86" s="5">
        <v>36.96</v>
      </c>
      <c r="G86" s="5">
        <v>56</v>
      </c>
      <c r="H86" s="5">
        <v>87.22999999999999</v>
      </c>
      <c r="I86" s="5">
        <v>49.4</v>
      </c>
      <c r="J86" s="5">
        <v>31.5</v>
      </c>
      <c r="K86" s="5">
        <v>32.76</v>
      </c>
      <c r="L86" s="5">
        <v>38.880000000000003</v>
      </c>
      <c r="M86" s="5">
        <v>30.419999999999998</v>
      </c>
      <c r="N86" s="5">
        <v>41.870000000000005</v>
      </c>
      <c r="O86" s="5">
        <v>42.63</v>
      </c>
      <c r="P86" s="5">
        <v>26.200000299999999</v>
      </c>
      <c r="Q86" s="5">
        <v>28.900001</v>
      </c>
      <c r="R86" s="5">
        <v>65.299992000000003</v>
      </c>
      <c r="S86" s="5">
        <v>54.700015999999998</v>
      </c>
      <c r="T86" s="5">
        <v>36.200000000000003</v>
      </c>
      <c r="U86">
        <f>6*0.8333334</f>
        <v>5.0000004000000002</v>
      </c>
      <c r="V86">
        <f>5*1.92</f>
        <v>9.6</v>
      </c>
      <c r="W86">
        <f>5</f>
        <v>5</v>
      </c>
    </row>
    <row r="87" spans="1:23">
      <c r="A87" s="4">
        <v>395</v>
      </c>
      <c r="B87" s="5" t="s">
        <v>80</v>
      </c>
      <c r="C87" s="5">
        <f>2*1.15</f>
        <v>2.2999999999999998</v>
      </c>
      <c r="D87" s="5">
        <v>7.1999999999999993</v>
      </c>
      <c r="E87" s="5">
        <v>0.2</v>
      </c>
      <c r="F87" s="5">
        <v>0.1</v>
      </c>
      <c r="G87" s="5">
        <v>12.39</v>
      </c>
      <c r="H87" s="5">
        <v>0.3</v>
      </c>
      <c r="I87" s="5">
        <v>0.2</v>
      </c>
      <c r="J87" s="5">
        <v>0.2</v>
      </c>
      <c r="K87" s="5">
        <v>0</v>
      </c>
      <c r="L87" s="5">
        <v>0.1</v>
      </c>
      <c r="M87" s="5">
        <v>16.200000000000003</v>
      </c>
      <c r="N87" s="5">
        <v>0.1</v>
      </c>
      <c r="O87" s="5">
        <v>0.8</v>
      </c>
      <c r="P87" s="5">
        <v>0.30000000000000004</v>
      </c>
      <c r="Q87" s="5">
        <v>0.1</v>
      </c>
      <c r="R87" s="5">
        <v>6.4</v>
      </c>
      <c r="S87" s="5">
        <v>4.0999999999999996</v>
      </c>
      <c r="T87" s="5">
        <v>5</v>
      </c>
      <c r="U87" s="5">
        <v>0.3</v>
      </c>
      <c r="V87">
        <f>3*1.5</f>
        <v>4.5</v>
      </c>
      <c r="W87">
        <f>6*0.9</f>
        <v>5.4</v>
      </c>
    </row>
    <row r="88" spans="1:23">
      <c r="A88" s="4">
        <v>402</v>
      </c>
      <c r="B88" s="5" t="s">
        <v>81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10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0.30000000000000004</v>
      </c>
      <c r="T88" s="5">
        <v>0</v>
      </c>
      <c r="U88" s="5">
        <v>0</v>
      </c>
      <c r="V88" s="5">
        <v>0</v>
      </c>
      <c r="W88" s="5">
        <v>0</v>
      </c>
    </row>
    <row r="89" spans="1:23">
      <c r="A89" s="4">
        <v>403</v>
      </c>
      <c r="B89" s="5" t="s">
        <v>82</v>
      </c>
      <c r="C89" s="5">
        <v>0</v>
      </c>
      <c r="D89" s="5">
        <v>0</v>
      </c>
      <c r="E89" s="5">
        <v>0</v>
      </c>
      <c r="F89" s="5">
        <v>0.7</v>
      </c>
      <c r="G89" s="5">
        <v>0.1</v>
      </c>
      <c r="H89" s="5">
        <v>1.4</v>
      </c>
      <c r="I89" s="5">
        <v>0</v>
      </c>
      <c r="J89" s="5">
        <v>0</v>
      </c>
      <c r="K89" s="5">
        <v>0</v>
      </c>
      <c r="L89" s="5">
        <v>0</v>
      </c>
      <c r="M89" s="5">
        <v>0.1</v>
      </c>
      <c r="N89" s="5">
        <v>0</v>
      </c>
      <c r="O89" s="5">
        <v>0.1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</row>
    <row r="90" spans="1:23">
      <c r="A90" s="4">
        <v>404</v>
      </c>
      <c r="B90" s="5" t="s">
        <v>83</v>
      </c>
      <c r="C90" s="5">
        <f>4*1.75</f>
        <v>7</v>
      </c>
      <c r="D90" s="5">
        <v>0.2</v>
      </c>
      <c r="E90" s="5">
        <v>0.2</v>
      </c>
      <c r="F90" s="5">
        <v>0.3</v>
      </c>
      <c r="G90" s="5">
        <v>10</v>
      </c>
      <c r="H90" s="5">
        <v>9.52</v>
      </c>
      <c r="I90" s="5">
        <v>1</v>
      </c>
      <c r="J90" s="5">
        <v>5.4</v>
      </c>
      <c r="K90" s="5">
        <v>29.970000000000002</v>
      </c>
      <c r="L90" s="5">
        <v>23.209999999999997</v>
      </c>
      <c r="M90" s="5">
        <v>4.1999999999999993</v>
      </c>
      <c r="N90" s="5">
        <v>9.52</v>
      </c>
      <c r="O90" s="5">
        <v>8.91</v>
      </c>
      <c r="P90" s="5">
        <v>6.8</v>
      </c>
      <c r="Q90" s="5">
        <v>0</v>
      </c>
      <c r="R90" s="5">
        <v>4</v>
      </c>
      <c r="S90" s="5">
        <v>59.9</v>
      </c>
      <c r="T90" s="5">
        <v>4.5</v>
      </c>
      <c r="U90" s="5">
        <v>4</v>
      </c>
      <c r="V90" s="5">
        <v>0</v>
      </c>
      <c r="W90" s="5">
        <v>0</v>
      </c>
    </row>
    <row r="91" spans="1:23">
      <c r="A91" s="4">
        <v>411</v>
      </c>
      <c r="B91" s="5" t="s">
        <v>84</v>
      </c>
      <c r="C91" s="5">
        <v>0</v>
      </c>
      <c r="D91" s="5">
        <v>0</v>
      </c>
      <c r="E91" s="5">
        <v>0.1</v>
      </c>
      <c r="F91" s="5">
        <v>7.2900000000000009</v>
      </c>
      <c r="G91" s="5">
        <v>0.1</v>
      </c>
      <c r="H91" s="5">
        <v>2.2999999999999998</v>
      </c>
      <c r="I91" s="5">
        <v>0</v>
      </c>
      <c r="J91" s="5">
        <v>0.1</v>
      </c>
      <c r="K91" s="5">
        <v>0.4</v>
      </c>
      <c r="L91" s="5">
        <v>0.1</v>
      </c>
      <c r="M91" s="5">
        <v>0</v>
      </c>
      <c r="N91" s="5">
        <v>0</v>
      </c>
      <c r="O91" s="5">
        <v>0</v>
      </c>
      <c r="P91" s="5">
        <v>0</v>
      </c>
      <c r="Q91" s="5">
        <v>14.500001999999999</v>
      </c>
      <c r="R91" s="5">
        <v>0</v>
      </c>
      <c r="S91" s="5">
        <v>0.2</v>
      </c>
      <c r="T91" s="5">
        <v>0</v>
      </c>
      <c r="U91">
        <f>2*2.3</f>
        <v>4.5999999999999996</v>
      </c>
      <c r="V91" s="5">
        <v>0</v>
      </c>
      <c r="W91" s="5">
        <v>0</v>
      </c>
    </row>
    <row r="92" spans="1:23">
      <c r="A92" s="4">
        <v>420</v>
      </c>
      <c r="B92" s="5" t="s">
        <v>85</v>
      </c>
      <c r="C92" s="5">
        <f>2*1.15</f>
        <v>2.2999999999999998</v>
      </c>
      <c r="D92" s="5">
        <v>10.709999999999999</v>
      </c>
      <c r="E92" s="5">
        <v>10.199999999999999</v>
      </c>
      <c r="F92" s="5">
        <v>7.6</v>
      </c>
      <c r="G92" s="5">
        <v>0.2</v>
      </c>
      <c r="H92" s="5">
        <v>0</v>
      </c>
      <c r="I92" s="5">
        <v>7.2900000000000009</v>
      </c>
      <c r="J92" s="5">
        <v>5</v>
      </c>
      <c r="K92" s="5">
        <v>0.1</v>
      </c>
      <c r="L92" s="5">
        <v>8.6999999999999993</v>
      </c>
      <c r="M92" s="5">
        <v>14.6</v>
      </c>
      <c r="N92" s="5">
        <v>5</v>
      </c>
      <c r="O92" s="5">
        <v>0</v>
      </c>
      <c r="P92" s="5">
        <v>0</v>
      </c>
      <c r="Q92" s="5">
        <v>7.6</v>
      </c>
      <c r="R92" s="5">
        <v>4.5</v>
      </c>
      <c r="S92" s="5">
        <v>8.4999990000000007</v>
      </c>
      <c r="T92" s="5">
        <v>8.8000000000000007</v>
      </c>
      <c r="U92">
        <f>2*4.65</f>
        <v>9.3000000000000007</v>
      </c>
      <c r="V92" s="5">
        <v>4.4000000000000004</v>
      </c>
      <c r="W92" s="534">
        <v>7</v>
      </c>
    </row>
    <row r="93" spans="1:23">
      <c r="A93" s="4">
        <v>432</v>
      </c>
      <c r="B93" s="5" t="s">
        <v>86</v>
      </c>
      <c r="C93" s="5">
        <v>2.2000000000000002</v>
      </c>
      <c r="D93" s="5">
        <v>21.990000000000002</v>
      </c>
      <c r="E93" s="5">
        <v>2.2999999999999998</v>
      </c>
      <c r="F93" s="5">
        <v>0.3</v>
      </c>
      <c r="G93" s="5">
        <v>10.57</v>
      </c>
      <c r="H93" s="5">
        <v>2.2000000000000002</v>
      </c>
      <c r="I93" s="5">
        <v>5</v>
      </c>
      <c r="J93" s="5">
        <v>14.4</v>
      </c>
      <c r="K93" s="5">
        <v>0</v>
      </c>
      <c r="L93" s="5">
        <v>2.4000000000000004</v>
      </c>
      <c r="M93" s="5">
        <v>2.2000000000000002</v>
      </c>
      <c r="N93" s="5">
        <v>0.1</v>
      </c>
      <c r="O93" s="5">
        <v>0.2</v>
      </c>
      <c r="P93" s="5">
        <v>0</v>
      </c>
      <c r="Q93" s="5">
        <v>10.899998999999999</v>
      </c>
      <c r="R93" s="5">
        <v>5.199999</v>
      </c>
      <c r="S93" s="5">
        <v>0.1</v>
      </c>
      <c r="T93" s="5">
        <v>9.1999999999999993</v>
      </c>
      <c r="U93">
        <f>4*6.25</f>
        <v>25</v>
      </c>
      <c r="V93" s="5">
        <v>4.5</v>
      </c>
      <c r="W93" s="5">
        <v>0</v>
      </c>
    </row>
    <row r="94" spans="1:23">
      <c r="A94" s="4">
        <v>433</v>
      </c>
      <c r="B94" s="5" t="s">
        <v>87</v>
      </c>
      <c r="C94" s="5">
        <v>2.2999999999999998</v>
      </c>
      <c r="D94" s="5">
        <v>10.1</v>
      </c>
      <c r="E94" s="5">
        <v>2.52</v>
      </c>
      <c r="F94" s="5">
        <v>0.2</v>
      </c>
      <c r="G94" s="5">
        <v>7.7</v>
      </c>
      <c r="H94" s="5">
        <v>3.21</v>
      </c>
      <c r="I94" s="5">
        <v>4.5999999999999996</v>
      </c>
      <c r="J94" s="5">
        <v>12.600000000000001</v>
      </c>
      <c r="K94" s="5">
        <v>40.700000000000003</v>
      </c>
      <c r="L94" s="5">
        <v>9.7200000000000006</v>
      </c>
      <c r="M94" s="5">
        <v>0.5</v>
      </c>
      <c r="N94" s="5">
        <v>6.6</v>
      </c>
      <c r="O94" s="5">
        <v>0.1</v>
      </c>
      <c r="P94" s="5">
        <v>7.6</v>
      </c>
      <c r="Q94" s="5">
        <v>2.2999999999999998</v>
      </c>
      <c r="R94" s="5">
        <v>35</v>
      </c>
      <c r="S94" s="5">
        <v>36.900005999999998</v>
      </c>
      <c r="T94" s="5">
        <v>0.5</v>
      </c>
      <c r="U94" s="5">
        <v>0.1</v>
      </c>
      <c r="V94" s="534">
        <v>0.1</v>
      </c>
      <c r="W94" s="5">
        <v>2.2000000000000002</v>
      </c>
    </row>
    <row r="95" spans="1:23">
      <c r="A95" s="4">
        <v>434</v>
      </c>
      <c r="B95" s="5" t="s">
        <v>88</v>
      </c>
      <c r="C95" s="5">
        <v>0</v>
      </c>
      <c r="D95" s="5">
        <v>0.2</v>
      </c>
      <c r="E95" s="5">
        <v>0.1</v>
      </c>
      <c r="F95" s="5">
        <v>0</v>
      </c>
      <c r="G95" s="5">
        <v>0</v>
      </c>
      <c r="H95" s="5">
        <v>9</v>
      </c>
      <c r="I95" s="5">
        <v>5</v>
      </c>
      <c r="J95" s="5">
        <v>0</v>
      </c>
      <c r="K95" s="5">
        <v>0</v>
      </c>
      <c r="L95" s="5">
        <v>0</v>
      </c>
      <c r="M95" s="5">
        <v>0</v>
      </c>
      <c r="N95" s="5">
        <v>0.1</v>
      </c>
      <c r="O95" s="5">
        <v>0</v>
      </c>
      <c r="P95" s="5">
        <v>0</v>
      </c>
      <c r="Q95" s="5">
        <v>0</v>
      </c>
      <c r="R95" s="5">
        <v>8.8000000000000007</v>
      </c>
      <c r="S95" s="5">
        <v>3</v>
      </c>
      <c r="T95" s="5">
        <v>13.9</v>
      </c>
      <c r="U95" s="5">
        <v>0</v>
      </c>
      <c r="V95" s="5">
        <v>0.2</v>
      </c>
      <c r="W95" s="5">
        <v>0</v>
      </c>
    </row>
    <row r="96" spans="1:23">
      <c r="A96" s="4">
        <v>435</v>
      </c>
      <c r="B96" s="5" t="s">
        <v>89</v>
      </c>
      <c r="C96" s="5">
        <v>10</v>
      </c>
      <c r="D96" s="5">
        <v>9.8000000000000007</v>
      </c>
      <c r="E96" s="5">
        <v>7.7</v>
      </c>
      <c r="F96" s="5">
        <v>0.1</v>
      </c>
      <c r="G96" s="5">
        <v>7.6</v>
      </c>
      <c r="H96" s="5">
        <v>0</v>
      </c>
      <c r="I96" s="5">
        <v>2.2999999999999998</v>
      </c>
      <c r="J96" s="5">
        <v>0</v>
      </c>
      <c r="K96" s="5">
        <v>9.81</v>
      </c>
      <c r="L96" s="5">
        <v>23.580000000000002</v>
      </c>
      <c r="M96" s="5">
        <v>9</v>
      </c>
      <c r="N96" s="5">
        <v>1.1000000000000001</v>
      </c>
      <c r="O96" s="5">
        <v>0</v>
      </c>
      <c r="P96" s="5">
        <v>10.299999</v>
      </c>
      <c r="Q96" s="5">
        <v>8.3999999999999986</v>
      </c>
      <c r="R96" s="5">
        <v>4.4000000000000004</v>
      </c>
      <c r="S96" s="5">
        <v>9.3000000000000007</v>
      </c>
      <c r="T96" s="5">
        <v>11.799999999999999</v>
      </c>
      <c r="U96" s="5">
        <v>5.2</v>
      </c>
      <c r="V96">
        <f>2*5.7</f>
        <v>11.4</v>
      </c>
      <c r="W96">
        <f>2*8.5</f>
        <v>17</v>
      </c>
    </row>
    <row r="97" spans="1:23">
      <c r="A97" s="4">
        <v>436</v>
      </c>
      <c r="B97" s="5" t="s">
        <v>90</v>
      </c>
      <c r="C97" s="5">
        <f>3*6.566667</f>
        <v>19.700001</v>
      </c>
      <c r="D97" s="5">
        <v>0.1</v>
      </c>
      <c r="E97" s="5">
        <v>34.93</v>
      </c>
      <c r="F97" s="5">
        <v>11.8</v>
      </c>
      <c r="G97" s="5">
        <v>55.68</v>
      </c>
      <c r="H97" s="5">
        <v>9.6</v>
      </c>
      <c r="I97" s="5">
        <v>0</v>
      </c>
      <c r="J97" s="5">
        <v>5</v>
      </c>
      <c r="K97" s="5">
        <v>10.199999999999999</v>
      </c>
      <c r="L97" s="5">
        <v>7</v>
      </c>
      <c r="M97" s="5">
        <v>6.8</v>
      </c>
      <c r="N97" s="5">
        <v>0</v>
      </c>
      <c r="O97" s="5">
        <v>1</v>
      </c>
      <c r="P97" s="5">
        <v>4</v>
      </c>
      <c r="Q97" s="5">
        <v>11.8</v>
      </c>
      <c r="R97" s="5">
        <v>11.999997</v>
      </c>
      <c r="S97" s="5">
        <v>135.69999999999999</v>
      </c>
      <c r="T97" s="5">
        <v>167.00001799999998</v>
      </c>
      <c r="U97">
        <f>16*4.575</f>
        <v>73.2</v>
      </c>
      <c r="V97">
        <f>13*1.207692</f>
        <v>15.699996000000001</v>
      </c>
      <c r="W97">
        <f>2*2.25</f>
        <v>4.5</v>
      </c>
    </row>
    <row r="98" spans="1:23">
      <c r="A98" s="4">
        <v>437</v>
      </c>
      <c r="B98" s="5" t="s">
        <v>91</v>
      </c>
      <c r="C98" s="5">
        <f>4*2.675</f>
        <v>10.7</v>
      </c>
      <c r="D98" s="5">
        <v>9.3800000000000008</v>
      </c>
      <c r="E98" s="5">
        <v>18.899999999999999</v>
      </c>
      <c r="F98" s="5">
        <v>14.76</v>
      </c>
      <c r="G98" s="5">
        <v>15.66</v>
      </c>
      <c r="H98" s="5">
        <v>0.9</v>
      </c>
      <c r="I98" s="5">
        <v>14.2</v>
      </c>
      <c r="J98" s="5">
        <v>4.1999999999999993</v>
      </c>
      <c r="K98" s="5">
        <v>9.7999999999999989</v>
      </c>
      <c r="L98" s="5">
        <v>5.2</v>
      </c>
      <c r="M98" s="5">
        <v>15.400000000000002</v>
      </c>
      <c r="N98" s="5">
        <v>24.4</v>
      </c>
      <c r="O98" s="5">
        <v>39.599999999999994</v>
      </c>
      <c r="P98" s="5">
        <v>64.200002999999995</v>
      </c>
      <c r="Q98" s="5">
        <v>46.4</v>
      </c>
      <c r="R98" s="5">
        <v>22.599999999999998</v>
      </c>
      <c r="S98" s="5">
        <v>11.6</v>
      </c>
      <c r="T98" s="5">
        <v>7.6</v>
      </c>
      <c r="U98" s="5">
        <v>4.4000000000000004</v>
      </c>
      <c r="V98" s="5">
        <v>0</v>
      </c>
      <c r="W98" s="5">
        <v>0.1</v>
      </c>
    </row>
    <row r="99" spans="1:23">
      <c r="A99" s="4">
        <v>438</v>
      </c>
      <c r="B99" s="5" t="s">
        <v>92</v>
      </c>
      <c r="C99" s="5">
        <v>0.1</v>
      </c>
      <c r="D99" s="5">
        <v>4.0999999999999996</v>
      </c>
      <c r="E99" s="5">
        <v>5.0999999999999996</v>
      </c>
      <c r="F99" s="5">
        <v>6.3000000000000007</v>
      </c>
      <c r="G99" s="5">
        <v>12.21</v>
      </c>
      <c r="H99" s="5">
        <v>7.7</v>
      </c>
      <c r="I99" s="5">
        <v>4</v>
      </c>
      <c r="J99" s="5">
        <v>7.6</v>
      </c>
      <c r="K99" s="5">
        <v>7.6</v>
      </c>
      <c r="L99" s="5">
        <v>26</v>
      </c>
      <c r="M99" s="5">
        <v>65.429999999999993</v>
      </c>
      <c r="N99" s="5">
        <v>51.21</v>
      </c>
      <c r="O99" s="5">
        <v>2.2999999999999998</v>
      </c>
      <c r="P99" s="5">
        <v>7.7</v>
      </c>
      <c r="Q99" s="5">
        <v>4</v>
      </c>
      <c r="R99" s="5">
        <v>11.9</v>
      </c>
      <c r="S99" s="5">
        <v>0.1</v>
      </c>
      <c r="T99" s="5">
        <v>0.1</v>
      </c>
      <c r="U99" s="5">
        <v>5</v>
      </c>
      <c r="V99">
        <f>3*3.2</f>
        <v>9.6000000000000014</v>
      </c>
      <c r="W99" s="5">
        <v>4.9000000000000004</v>
      </c>
    </row>
    <row r="100" spans="1:23">
      <c r="A100" s="4">
        <v>439</v>
      </c>
      <c r="B100" s="5" t="s">
        <v>93</v>
      </c>
      <c r="C100" s="5">
        <v>0.3</v>
      </c>
      <c r="D100" s="5">
        <v>0.4</v>
      </c>
      <c r="E100" s="5">
        <v>1</v>
      </c>
      <c r="F100" s="5">
        <v>0.1</v>
      </c>
      <c r="G100" s="5">
        <v>0.1</v>
      </c>
      <c r="H100" s="5">
        <v>0.2</v>
      </c>
      <c r="I100" s="5">
        <v>0.1</v>
      </c>
      <c r="J100" s="5">
        <v>0.3</v>
      </c>
      <c r="K100" s="5">
        <v>2.2999999999999998</v>
      </c>
      <c r="L100" s="5">
        <v>4</v>
      </c>
      <c r="M100" s="5">
        <v>10.72</v>
      </c>
      <c r="N100" s="5">
        <v>7.72</v>
      </c>
      <c r="O100" s="5">
        <v>0</v>
      </c>
      <c r="P100" s="5">
        <v>0.2</v>
      </c>
      <c r="Q100" s="5">
        <v>0.2</v>
      </c>
      <c r="R100" s="5">
        <v>0.2</v>
      </c>
      <c r="S100" s="5">
        <v>3.4999998000000003</v>
      </c>
      <c r="T100" s="5">
        <v>10.1</v>
      </c>
      <c r="U100" s="5">
        <v>0</v>
      </c>
      <c r="V100" s="5">
        <v>0</v>
      </c>
      <c r="W100" s="5">
        <v>0</v>
      </c>
    </row>
    <row r="101" spans="1:23">
      <c r="A101" s="4">
        <v>450</v>
      </c>
      <c r="B101" s="5" t="s">
        <v>94</v>
      </c>
      <c r="C101" s="5">
        <f>13*3.107692</f>
        <v>40.399996000000002</v>
      </c>
      <c r="D101" s="5">
        <v>75.14</v>
      </c>
      <c r="E101" s="5">
        <v>9.5</v>
      </c>
      <c r="F101" s="5">
        <v>22.32</v>
      </c>
      <c r="G101" s="5">
        <v>23.65</v>
      </c>
      <c r="H101" s="5">
        <v>35.21</v>
      </c>
      <c r="I101" s="5">
        <v>23.76</v>
      </c>
      <c r="J101" s="5">
        <v>12.09</v>
      </c>
      <c r="K101" s="5">
        <v>30.72</v>
      </c>
      <c r="L101" s="5">
        <v>16.899999999999999</v>
      </c>
      <c r="M101" s="5">
        <v>22.72</v>
      </c>
      <c r="N101" s="5">
        <v>71.06</v>
      </c>
      <c r="O101" s="5">
        <v>7.68</v>
      </c>
      <c r="P101" s="5">
        <v>52.499994999999998</v>
      </c>
      <c r="Q101" s="5">
        <v>0</v>
      </c>
      <c r="R101" s="5">
        <v>25.299999999999997</v>
      </c>
      <c r="S101" s="5">
        <v>15.799997999999999</v>
      </c>
      <c r="T101" s="5">
        <v>2.7</v>
      </c>
      <c r="U101" s="5">
        <v>8</v>
      </c>
      <c r="V101" s="5">
        <v>0</v>
      </c>
      <c r="W101" s="5">
        <v>0</v>
      </c>
    </row>
    <row r="102" spans="1:23">
      <c r="A102" s="4">
        <v>451</v>
      </c>
      <c r="B102" s="5" t="s">
        <v>95</v>
      </c>
      <c r="C102" s="5">
        <v>0.1</v>
      </c>
      <c r="D102" s="5">
        <v>101.42</v>
      </c>
      <c r="E102" s="5">
        <v>13.4</v>
      </c>
      <c r="F102" s="5">
        <v>27.72</v>
      </c>
      <c r="G102" s="5">
        <v>43.47</v>
      </c>
      <c r="H102" s="5">
        <v>80.37</v>
      </c>
      <c r="I102" s="5">
        <v>15</v>
      </c>
      <c r="J102" s="5">
        <v>39.300000000000004</v>
      </c>
      <c r="K102" s="5">
        <v>23.6</v>
      </c>
      <c r="L102" s="5">
        <v>76.679999999999993</v>
      </c>
      <c r="M102" s="5">
        <v>88.22</v>
      </c>
      <c r="N102" s="5">
        <v>41.82</v>
      </c>
      <c r="O102" s="5">
        <v>7.7</v>
      </c>
      <c r="P102" s="5">
        <v>2.7</v>
      </c>
      <c r="Q102" s="5">
        <v>4</v>
      </c>
      <c r="R102" s="5">
        <v>14.799999</v>
      </c>
      <c r="S102" s="5">
        <v>15.7</v>
      </c>
      <c r="T102" s="5">
        <v>11.499999000000001</v>
      </c>
      <c r="U102" s="5">
        <v>0.1</v>
      </c>
      <c r="V102" s="5">
        <v>0</v>
      </c>
      <c r="W102" s="5">
        <v>0</v>
      </c>
    </row>
    <row r="103" spans="1:23">
      <c r="A103" s="4">
        <v>452</v>
      </c>
      <c r="B103" s="5" t="s">
        <v>96</v>
      </c>
      <c r="C103" s="5">
        <v>0.4</v>
      </c>
      <c r="D103" s="5">
        <v>0.3</v>
      </c>
      <c r="E103" s="5">
        <v>10.1</v>
      </c>
      <c r="F103" s="5">
        <v>29.52</v>
      </c>
      <c r="G103" s="5">
        <v>20.32</v>
      </c>
      <c r="H103" s="5">
        <v>15.75</v>
      </c>
      <c r="I103" s="5">
        <v>3.78</v>
      </c>
      <c r="J103" s="5">
        <v>53.56</v>
      </c>
      <c r="K103" s="5">
        <v>6.9</v>
      </c>
      <c r="L103" s="5">
        <v>14.9</v>
      </c>
      <c r="M103" s="5">
        <v>15.819999999999999</v>
      </c>
      <c r="N103" s="5">
        <v>11.6</v>
      </c>
      <c r="O103" s="5">
        <v>0</v>
      </c>
      <c r="P103" s="5">
        <v>10.500003</v>
      </c>
      <c r="Q103" s="5">
        <v>0.1</v>
      </c>
      <c r="R103" s="5">
        <v>0</v>
      </c>
      <c r="S103" s="5">
        <v>7.1999999999999993</v>
      </c>
      <c r="T103" s="5">
        <v>17.5</v>
      </c>
      <c r="U103" s="5">
        <v>6</v>
      </c>
      <c r="V103" s="5">
        <v>0</v>
      </c>
      <c r="W103">
        <f>5*2.14</f>
        <v>10.700000000000001</v>
      </c>
    </row>
    <row r="104" spans="1:23">
      <c r="A104" s="4">
        <v>461</v>
      </c>
      <c r="B104" s="5" t="s">
        <v>97</v>
      </c>
      <c r="C104" s="5">
        <v>0.3</v>
      </c>
      <c r="D104" s="5">
        <v>5.4</v>
      </c>
      <c r="E104" s="5">
        <v>18.78</v>
      </c>
      <c r="F104" s="5">
        <v>2.52</v>
      </c>
      <c r="G104" s="5">
        <v>2.4000000000000004</v>
      </c>
      <c r="H104" s="5">
        <v>0.2</v>
      </c>
      <c r="I104" s="5">
        <v>0.1</v>
      </c>
      <c r="J104" s="5">
        <v>0.4</v>
      </c>
      <c r="K104" s="5">
        <v>0.1</v>
      </c>
      <c r="L104" s="5">
        <v>10</v>
      </c>
      <c r="M104" s="5">
        <v>0.3</v>
      </c>
      <c r="N104" s="5">
        <v>0.1</v>
      </c>
      <c r="O104" s="5">
        <v>0</v>
      </c>
      <c r="P104" s="5">
        <v>0.1</v>
      </c>
      <c r="Q104" s="5">
        <v>0</v>
      </c>
      <c r="R104" s="5">
        <v>53.500005000000002</v>
      </c>
      <c r="S104" s="5">
        <v>4.4000000000000004</v>
      </c>
      <c r="T104" s="5">
        <v>0</v>
      </c>
      <c r="U104" s="5">
        <v>0</v>
      </c>
      <c r="V104" s="5">
        <v>0</v>
      </c>
      <c r="W104" s="5">
        <v>0</v>
      </c>
    </row>
    <row r="105" spans="1:23">
      <c r="A105" s="4">
        <v>471</v>
      </c>
      <c r="B105" s="5" t="s">
        <v>98</v>
      </c>
      <c r="C105" s="5">
        <v>0.1</v>
      </c>
      <c r="D105" s="5">
        <v>2.2999999999999998</v>
      </c>
      <c r="E105" s="5">
        <v>5.3000000000000007</v>
      </c>
      <c r="F105" s="5">
        <v>13.5</v>
      </c>
      <c r="G105" s="5">
        <v>28.8</v>
      </c>
      <c r="H105" s="5">
        <v>7.8000000000000007</v>
      </c>
      <c r="I105" s="5">
        <v>26.4</v>
      </c>
      <c r="J105" s="5">
        <v>0.3</v>
      </c>
      <c r="K105" s="5">
        <v>7</v>
      </c>
      <c r="L105" s="5">
        <v>10.1</v>
      </c>
      <c r="M105" s="5">
        <v>8</v>
      </c>
      <c r="N105" s="5">
        <v>0.4</v>
      </c>
      <c r="O105" s="5">
        <v>0.1</v>
      </c>
      <c r="P105" s="5">
        <v>0.30000000000000004</v>
      </c>
      <c r="Q105" s="5">
        <v>8.9000009999999996</v>
      </c>
      <c r="R105" s="5">
        <v>15.600000000000001</v>
      </c>
      <c r="S105" s="5">
        <v>0</v>
      </c>
      <c r="T105" s="5">
        <v>0.1</v>
      </c>
      <c r="U105">
        <f>2*2.05</f>
        <v>4.0999999999999996</v>
      </c>
      <c r="V105" s="5">
        <v>0</v>
      </c>
      <c r="W105" s="5">
        <v>0</v>
      </c>
    </row>
    <row r="106" spans="1:23">
      <c r="A106" s="4">
        <v>475</v>
      </c>
      <c r="B106" s="5" t="s">
        <v>99</v>
      </c>
      <c r="C106" s="5">
        <f>31*1.583871</f>
        <v>49.100000999999999</v>
      </c>
      <c r="D106" s="5">
        <v>18.59</v>
      </c>
      <c r="E106" s="5">
        <v>40.4</v>
      </c>
      <c r="F106" s="5">
        <v>45.5</v>
      </c>
      <c r="G106" s="5">
        <v>65.34</v>
      </c>
      <c r="H106" s="5">
        <v>34.020000000000003</v>
      </c>
      <c r="I106" s="5">
        <v>142.07999999999998</v>
      </c>
      <c r="J106" s="5">
        <v>105.19999999999999</v>
      </c>
      <c r="K106" s="5">
        <v>176.46</v>
      </c>
      <c r="L106" s="5">
        <v>11.479999999999999</v>
      </c>
      <c r="M106" s="5">
        <v>54.72</v>
      </c>
      <c r="N106" s="5">
        <v>44.8</v>
      </c>
      <c r="O106" s="5">
        <v>16.5</v>
      </c>
      <c r="P106" s="5">
        <v>71.200012000000001</v>
      </c>
      <c r="Q106" s="5">
        <v>86.9</v>
      </c>
      <c r="R106" s="5">
        <v>143.09999199999999</v>
      </c>
      <c r="S106" s="5">
        <v>208.20002399999998</v>
      </c>
      <c r="T106" s="5">
        <v>226.50000099999997</v>
      </c>
      <c r="U106">
        <f>25*5.056</f>
        <v>126.4</v>
      </c>
      <c r="V106">
        <f>26*4.053846</f>
        <v>105.399996</v>
      </c>
      <c r="W106">
        <v>44.5</v>
      </c>
    </row>
    <row r="107" spans="1:23">
      <c r="A107" s="4">
        <v>481</v>
      </c>
      <c r="B107" s="5" t="s">
        <v>100</v>
      </c>
      <c r="C107" s="5">
        <v>2.2000000000000002</v>
      </c>
      <c r="D107" s="5">
        <v>0.1</v>
      </c>
      <c r="E107" s="5">
        <v>0.1</v>
      </c>
      <c r="F107" s="5">
        <v>0.5</v>
      </c>
      <c r="G107" s="5">
        <v>2.2000000000000002</v>
      </c>
      <c r="H107" s="5">
        <v>5.2</v>
      </c>
      <c r="I107" s="5">
        <v>0.1</v>
      </c>
      <c r="J107" s="5">
        <v>7.7</v>
      </c>
      <c r="K107" s="5">
        <v>4.9000000000000004</v>
      </c>
      <c r="L107" s="5">
        <v>0.1</v>
      </c>
      <c r="M107" s="5">
        <v>0.1</v>
      </c>
      <c r="N107" s="5">
        <v>0.1</v>
      </c>
      <c r="O107" s="5">
        <v>7.7</v>
      </c>
      <c r="P107" s="5">
        <v>0</v>
      </c>
      <c r="Q107" s="5">
        <v>0</v>
      </c>
      <c r="R107" s="5">
        <v>4.5</v>
      </c>
      <c r="S107" s="5">
        <v>0.2</v>
      </c>
      <c r="T107" s="5">
        <v>0</v>
      </c>
      <c r="U107">
        <f>2*3.35</f>
        <v>6.7</v>
      </c>
      <c r="V107" s="5">
        <v>1</v>
      </c>
      <c r="W107" s="5">
        <v>0</v>
      </c>
    </row>
    <row r="108" spans="1:23">
      <c r="A108" s="4">
        <v>482</v>
      </c>
      <c r="B108" s="5" t="s">
        <v>101</v>
      </c>
      <c r="C108" s="5">
        <v>0.1</v>
      </c>
      <c r="D108" s="5">
        <v>0.1</v>
      </c>
      <c r="E108" s="5">
        <v>21.4</v>
      </c>
      <c r="F108" s="5">
        <v>0</v>
      </c>
      <c r="G108" s="5">
        <v>10.6</v>
      </c>
      <c r="H108" s="5">
        <v>6.09</v>
      </c>
      <c r="I108" s="5">
        <v>0.1</v>
      </c>
      <c r="J108" s="5">
        <v>21.92</v>
      </c>
      <c r="K108" s="5">
        <v>0</v>
      </c>
      <c r="L108" s="5">
        <v>9.81</v>
      </c>
      <c r="M108" s="5">
        <v>1.1000000000000001</v>
      </c>
      <c r="N108" s="5">
        <v>11.7</v>
      </c>
      <c r="O108" s="5">
        <v>4.59</v>
      </c>
      <c r="P108" s="5">
        <v>0</v>
      </c>
      <c r="Q108" s="5">
        <v>4.0999999999999996</v>
      </c>
      <c r="R108" s="5">
        <v>4</v>
      </c>
      <c r="S108" s="5">
        <v>36.299999999999997</v>
      </c>
      <c r="T108" s="5">
        <v>16.200000000000003</v>
      </c>
      <c r="U108">
        <f>2*4.85</f>
        <v>9.6999999999999993</v>
      </c>
      <c r="V108" s="5">
        <v>0</v>
      </c>
      <c r="W108" s="5">
        <v>10</v>
      </c>
    </row>
    <row r="109" spans="1:23">
      <c r="A109" s="4">
        <v>483</v>
      </c>
      <c r="B109" s="5" t="s">
        <v>102</v>
      </c>
      <c r="C109" s="5">
        <f>8*2.5375</f>
        <v>20.3</v>
      </c>
      <c r="D109" s="5">
        <v>0.3</v>
      </c>
      <c r="E109" s="5">
        <v>23.5</v>
      </c>
      <c r="F109" s="5">
        <v>0.3</v>
      </c>
      <c r="G109" s="5">
        <v>24.12</v>
      </c>
      <c r="H109" s="5">
        <v>7.1999999999999993</v>
      </c>
      <c r="I109" s="5">
        <v>0.3</v>
      </c>
      <c r="J109" s="5">
        <v>6.3</v>
      </c>
      <c r="K109" s="5">
        <v>12.299999999999999</v>
      </c>
      <c r="L109" s="5">
        <v>4.9799999999999995</v>
      </c>
      <c r="M109" s="5">
        <v>7.4</v>
      </c>
      <c r="N109" s="5">
        <v>0.3</v>
      </c>
      <c r="O109" s="5">
        <v>2.4000000000000004</v>
      </c>
      <c r="P109" s="5">
        <v>7.8000000000000007</v>
      </c>
      <c r="Q109" s="5">
        <v>20.2</v>
      </c>
      <c r="R109" s="5">
        <v>108.200001</v>
      </c>
      <c r="S109" s="5">
        <v>187.09999599999998</v>
      </c>
      <c r="T109" s="5">
        <v>172.59998400000001</v>
      </c>
      <c r="U109">
        <f>9*1.966667</f>
        <v>17.700002999999999</v>
      </c>
      <c r="V109">
        <f>2*5.05</f>
        <v>10.1</v>
      </c>
      <c r="W109">
        <f>4.4</f>
        <v>4.4000000000000004</v>
      </c>
    </row>
    <row r="110" spans="1:23">
      <c r="A110" s="4">
        <v>484</v>
      </c>
      <c r="B110" s="5" t="s">
        <v>103</v>
      </c>
      <c r="C110" s="5">
        <v>0</v>
      </c>
      <c r="D110" s="5">
        <v>9.99</v>
      </c>
      <c r="E110" s="5">
        <v>4.5</v>
      </c>
      <c r="F110" s="5">
        <v>12.52</v>
      </c>
      <c r="G110" s="5">
        <v>0</v>
      </c>
      <c r="H110" s="5">
        <v>0</v>
      </c>
      <c r="I110" s="5">
        <v>0</v>
      </c>
      <c r="J110" s="5">
        <v>19.88</v>
      </c>
      <c r="K110" s="5">
        <v>25.200000000000003</v>
      </c>
      <c r="L110" s="5">
        <v>12.32</v>
      </c>
      <c r="M110" s="5">
        <v>19.5</v>
      </c>
      <c r="N110" s="5">
        <v>14.12</v>
      </c>
      <c r="O110" s="5">
        <v>22.24</v>
      </c>
      <c r="P110" s="5">
        <v>9.1999999999999993</v>
      </c>
      <c r="Q110" s="5">
        <v>10.4</v>
      </c>
      <c r="R110" s="5">
        <v>2.4000000000000004</v>
      </c>
      <c r="S110" s="5">
        <v>10.1</v>
      </c>
      <c r="T110" s="5">
        <v>12.600000000000001</v>
      </c>
      <c r="U110">
        <f>2*7.6</f>
        <v>15.2</v>
      </c>
      <c r="V110" s="5">
        <v>1</v>
      </c>
      <c r="W110" s="5">
        <v>2.4</v>
      </c>
    </row>
    <row r="111" spans="1:23">
      <c r="A111" s="4">
        <v>490</v>
      </c>
      <c r="B111" s="5" t="s">
        <v>104</v>
      </c>
      <c r="C111" s="5">
        <f>11*2.736364</f>
        <v>30.100003999999998</v>
      </c>
      <c r="D111" s="5">
        <v>18.98</v>
      </c>
      <c r="E111" s="5">
        <v>58.739999999999995</v>
      </c>
      <c r="F111" s="5">
        <v>66.08</v>
      </c>
      <c r="G111" s="5">
        <v>64.67</v>
      </c>
      <c r="H111" s="5">
        <v>83.52</v>
      </c>
      <c r="I111" s="5">
        <v>131.6</v>
      </c>
      <c r="J111" s="5">
        <v>169.85999999999999</v>
      </c>
      <c r="K111" s="5">
        <v>39.709999999999994</v>
      </c>
      <c r="L111" s="5">
        <v>47.7</v>
      </c>
      <c r="M111" s="5">
        <v>22.77</v>
      </c>
      <c r="N111" s="5">
        <v>25.56</v>
      </c>
      <c r="O111" s="5">
        <v>8.3999999999999986</v>
      </c>
      <c r="P111" s="5">
        <v>16.5</v>
      </c>
      <c r="Q111" s="5">
        <v>4.5999999999999996</v>
      </c>
      <c r="R111" s="5">
        <v>38.900004000000003</v>
      </c>
      <c r="S111" s="5">
        <v>20.899998</v>
      </c>
      <c r="T111" s="5">
        <v>42.9</v>
      </c>
      <c r="U111">
        <f>5*2.34</f>
        <v>11.7</v>
      </c>
      <c r="V111" s="5">
        <v>2.2000000000000002</v>
      </c>
      <c r="W111" s="5">
        <v>2.2000000000000002</v>
      </c>
    </row>
    <row r="112" spans="1:23">
      <c r="A112" s="4">
        <v>500</v>
      </c>
      <c r="B112" s="5" t="s">
        <v>105</v>
      </c>
      <c r="C112" s="5">
        <f>7*1.985714</f>
        <v>13.899998</v>
      </c>
      <c r="D112" s="5">
        <v>0.3</v>
      </c>
      <c r="E112" s="5">
        <v>0.2</v>
      </c>
      <c r="F112" s="5">
        <v>14.48</v>
      </c>
      <c r="G112" s="5">
        <v>34.11</v>
      </c>
      <c r="H112" s="5">
        <v>99.84</v>
      </c>
      <c r="I112" s="5">
        <v>49</v>
      </c>
      <c r="J112" s="5">
        <v>33.480000000000004</v>
      </c>
      <c r="K112" s="5">
        <v>24.7</v>
      </c>
      <c r="L112" s="5">
        <v>26.64</v>
      </c>
      <c r="M112" s="5">
        <v>38.090000000000003</v>
      </c>
      <c r="N112" s="5">
        <v>15.29</v>
      </c>
      <c r="O112" s="5">
        <v>49.64</v>
      </c>
      <c r="P112" s="5">
        <v>24.599997000000002</v>
      </c>
      <c r="Q112" s="5">
        <v>17.300003</v>
      </c>
      <c r="R112" s="5">
        <v>131.09999200000001</v>
      </c>
      <c r="S112" s="5">
        <v>65.299998000000002</v>
      </c>
      <c r="T112" s="5">
        <v>112.700007</v>
      </c>
      <c r="U112">
        <f>4*3.55</f>
        <v>14.2</v>
      </c>
      <c r="V112" s="5">
        <v>7.6</v>
      </c>
      <c r="W112">
        <f>5*5.86</f>
        <v>29.3</v>
      </c>
    </row>
    <row r="113" spans="1:23">
      <c r="A113" s="4">
        <v>501</v>
      </c>
      <c r="B113" s="5" t="s">
        <v>106</v>
      </c>
      <c r="C113" s="5">
        <f>14*2.292857</f>
        <v>32.099997999999999</v>
      </c>
      <c r="D113" s="5">
        <v>38.64</v>
      </c>
      <c r="E113" s="5">
        <v>40.46</v>
      </c>
      <c r="F113" s="5">
        <v>26.6</v>
      </c>
      <c r="G113" s="5">
        <v>84.87</v>
      </c>
      <c r="H113" s="5">
        <v>41.58</v>
      </c>
      <c r="I113" s="5">
        <v>26.7</v>
      </c>
      <c r="J113" s="5">
        <v>24.09</v>
      </c>
      <c r="K113" s="5">
        <v>3.1</v>
      </c>
      <c r="L113" s="5">
        <v>38.28</v>
      </c>
      <c r="M113" s="5">
        <v>5.6</v>
      </c>
      <c r="N113" s="5">
        <v>29.28</v>
      </c>
      <c r="O113" s="5">
        <v>47.04</v>
      </c>
      <c r="P113" s="5">
        <v>26.699996000000002</v>
      </c>
      <c r="Q113" s="5">
        <v>41.900000000000006</v>
      </c>
      <c r="R113" s="5">
        <v>109.10001399999999</v>
      </c>
      <c r="S113" s="5">
        <v>155.79998399999999</v>
      </c>
      <c r="T113" s="5">
        <v>119.499996</v>
      </c>
      <c r="U113">
        <f>16*1.6875</f>
        <v>27</v>
      </c>
      <c r="V113">
        <f>8*2.9</f>
        <v>23.2</v>
      </c>
      <c r="W113">
        <f>8*4.1875</f>
        <v>33.5</v>
      </c>
    </row>
    <row r="114" spans="1:23">
      <c r="A114" s="4">
        <v>510</v>
      </c>
      <c r="B114" s="5" t="s">
        <v>107</v>
      </c>
      <c r="C114" s="5">
        <f>6*0.4833334</f>
        <v>2.9000004000000001</v>
      </c>
      <c r="D114" s="5">
        <v>0</v>
      </c>
      <c r="E114" s="5">
        <v>0.1</v>
      </c>
      <c r="F114" s="5">
        <v>8</v>
      </c>
      <c r="G114" s="5">
        <v>32.4</v>
      </c>
      <c r="H114" s="5">
        <v>51.36</v>
      </c>
      <c r="I114" s="5">
        <v>39.9</v>
      </c>
      <c r="J114" s="5">
        <v>35.840000000000003</v>
      </c>
      <c r="K114" s="5">
        <v>27.95</v>
      </c>
      <c r="L114" s="5">
        <v>6.72</v>
      </c>
      <c r="M114" s="5">
        <v>13.44</v>
      </c>
      <c r="N114" s="5">
        <v>11.16</v>
      </c>
      <c r="O114" s="5">
        <v>0</v>
      </c>
      <c r="P114" s="5">
        <v>6.9</v>
      </c>
      <c r="Q114" s="5">
        <v>0.1</v>
      </c>
      <c r="R114" s="5">
        <v>10.199999999999999</v>
      </c>
      <c r="S114" s="5">
        <v>5.0999999999999996</v>
      </c>
      <c r="T114" s="5">
        <v>0.2</v>
      </c>
      <c r="U114" s="5">
        <v>0</v>
      </c>
      <c r="V114" s="5">
        <v>0</v>
      </c>
      <c r="W114" s="5">
        <v>0</v>
      </c>
    </row>
    <row r="115" spans="1:23">
      <c r="A115" s="4">
        <v>516</v>
      </c>
      <c r="B115" s="5" t="s">
        <v>108</v>
      </c>
      <c r="C115" s="5">
        <v>0.1</v>
      </c>
      <c r="D115" s="5">
        <v>1</v>
      </c>
      <c r="E115" s="5">
        <v>10</v>
      </c>
      <c r="F115" s="5">
        <v>8</v>
      </c>
      <c r="G115" s="5">
        <v>15.93</v>
      </c>
      <c r="H115" s="5">
        <v>23.38</v>
      </c>
      <c r="I115" s="5">
        <v>37.28</v>
      </c>
      <c r="J115" s="5">
        <v>34.1</v>
      </c>
      <c r="K115" s="5">
        <v>0.4</v>
      </c>
      <c r="L115" s="5">
        <v>7.1999999999999993</v>
      </c>
      <c r="M115" s="5">
        <v>4.0999999999999996</v>
      </c>
      <c r="N115" s="5">
        <v>2.2999999999999998</v>
      </c>
      <c r="O115" s="5">
        <v>10.1</v>
      </c>
      <c r="P115" s="5">
        <v>0</v>
      </c>
      <c r="Q115" s="5">
        <v>19.599999</v>
      </c>
      <c r="R115" s="5">
        <v>19.699999000000002</v>
      </c>
      <c r="S115" s="5">
        <v>22.899995999999998</v>
      </c>
      <c r="T115" s="5">
        <v>68.899996000000002</v>
      </c>
      <c r="U115" s="5">
        <v>7.6</v>
      </c>
      <c r="V115" s="5">
        <v>0</v>
      </c>
      <c r="W115" s="5">
        <v>7.6</v>
      </c>
    </row>
    <row r="116" spans="1:23">
      <c r="A116" s="4">
        <v>517</v>
      </c>
      <c r="B116" s="5" t="s">
        <v>109</v>
      </c>
      <c r="C116" s="5">
        <v>23.8</v>
      </c>
      <c r="D116" s="5">
        <v>18.239999999999998</v>
      </c>
      <c r="E116" s="5">
        <v>22.799999999999997</v>
      </c>
      <c r="F116" s="5">
        <v>2.6</v>
      </c>
      <c r="G116" s="5">
        <v>127.53</v>
      </c>
      <c r="H116" s="5">
        <v>74.34</v>
      </c>
      <c r="I116" s="5">
        <v>123.9</v>
      </c>
      <c r="J116" s="5">
        <v>39.44</v>
      </c>
      <c r="K116" s="5">
        <v>43.08</v>
      </c>
      <c r="L116" s="5">
        <v>17.600000000000001</v>
      </c>
      <c r="M116" s="5">
        <v>44.820000000000007</v>
      </c>
      <c r="N116" s="5">
        <v>30.599999999999998</v>
      </c>
      <c r="O116" s="5">
        <v>22.589999999999996</v>
      </c>
      <c r="P116" s="5">
        <v>21.7</v>
      </c>
      <c r="Q116" s="5">
        <v>93.799998000000002</v>
      </c>
      <c r="R116" s="5">
        <v>67.599990000000005</v>
      </c>
      <c r="S116" s="5">
        <v>109.100005</v>
      </c>
      <c r="T116" s="5">
        <v>40.299996</v>
      </c>
      <c r="U116">
        <f>6*4.333333</f>
        <v>25.999997999999998</v>
      </c>
      <c r="V116">
        <f>4*4.375</f>
        <v>17.5</v>
      </c>
      <c r="W116" s="5">
        <v>0</v>
      </c>
    </row>
    <row r="117" spans="1:23">
      <c r="A117" s="4">
        <v>520</v>
      </c>
      <c r="B117" s="5" t="s">
        <v>110</v>
      </c>
      <c r="C117" s="5">
        <f>3*3.133333</f>
        <v>9.3999989999999993</v>
      </c>
      <c r="D117" s="5">
        <v>37.700000000000003</v>
      </c>
      <c r="E117" s="5">
        <v>59.36</v>
      </c>
      <c r="F117" s="5">
        <v>399.32</v>
      </c>
      <c r="G117" s="5">
        <v>143.52000000000001</v>
      </c>
      <c r="H117" s="5">
        <v>40.5</v>
      </c>
      <c r="I117" s="5">
        <v>104.39999999999999</v>
      </c>
      <c r="J117" s="5">
        <v>18.400000000000002</v>
      </c>
      <c r="K117" s="5">
        <v>28.12</v>
      </c>
      <c r="L117" s="5">
        <v>15.99</v>
      </c>
      <c r="M117" s="5">
        <v>14.100000000000001</v>
      </c>
      <c r="N117" s="5">
        <v>14.6</v>
      </c>
      <c r="O117" s="5">
        <v>20.2</v>
      </c>
      <c r="P117" s="5">
        <v>17.100000000000001</v>
      </c>
      <c r="Q117" s="5">
        <v>6.8</v>
      </c>
      <c r="R117" s="5">
        <v>64.299998000000002</v>
      </c>
      <c r="S117" s="5">
        <v>231.299992</v>
      </c>
      <c r="T117" s="5">
        <v>209.49999899999997</v>
      </c>
      <c r="U117">
        <f>27*7.485185</f>
        <v>202.09999500000001</v>
      </c>
      <c r="V117">
        <f>21*6.904762</f>
        <v>145.00000199999999</v>
      </c>
      <c r="W117">
        <f>29*8.282759</f>
        <v>240.20001100000002</v>
      </c>
    </row>
    <row r="118" spans="1:23">
      <c r="A118" s="4">
        <v>522</v>
      </c>
      <c r="B118" s="5" t="s">
        <v>111</v>
      </c>
      <c r="C118" s="5">
        <v>0</v>
      </c>
      <c r="D118" s="5">
        <v>0</v>
      </c>
      <c r="E118" s="5">
        <v>0</v>
      </c>
      <c r="F118" s="5">
        <v>0.2</v>
      </c>
      <c r="G118" s="5">
        <v>0</v>
      </c>
      <c r="H118" s="5">
        <v>0</v>
      </c>
      <c r="I118" s="5">
        <v>0.3</v>
      </c>
      <c r="J118" s="5">
        <v>0.1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</row>
    <row r="119" spans="1:23">
      <c r="A119" s="4">
        <v>530</v>
      </c>
      <c r="B119" s="5" t="s">
        <v>112</v>
      </c>
      <c r="C119" s="5">
        <f>21*3.066667</f>
        <v>64.400007000000002</v>
      </c>
      <c r="D119" s="5">
        <v>57.75</v>
      </c>
      <c r="E119" s="5">
        <v>19.2</v>
      </c>
      <c r="F119" s="5">
        <v>22.6</v>
      </c>
      <c r="G119" s="5">
        <v>24.32</v>
      </c>
      <c r="H119" s="5">
        <v>46.74</v>
      </c>
      <c r="I119" s="5">
        <v>59.94</v>
      </c>
      <c r="J119" s="5">
        <v>25.2</v>
      </c>
      <c r="K119" s="5">
        <v>107.80000000000001</v>
      </c>
      <c r="L119" s="5">
        <v>181.72</v>
      </c>
      <c r="M119" s="5">
        <v>170.79999999999998</v>
      </c>
      <c r="N119" s="5">
        <v>54.449999999999996</v>
      </c>
      <c r="O119" s="5">
        <v>35.1</v>
      </c>
      <c r="P119" s="5">
        <v>4.8</v>
      </c>
      <c r="Q119" s="5">
        <v>26.5</v>
      </c>
      <c r="R119" s="5">
        <v>82.400010000000009</v>
      </c>
      <c r="S119" s="5">
        <v>337.70001999999999</v>
      </c>
      <c r="T119" s="5">
        <v>183.1</v>
      </c>
      <c r="U119" s="5">
        <v>44.4</v>
      </c>
      <c r="V119">
        <f>3*5.466667</f>
        <v>16.400001</v>
      </c>
      <c r="W119">
        <f>2*4.85</f>
        <v>9.6999999999999993</v>
      </c>
    </row>
    <row r="120" spans="1:23">
      <c r="A120" s="4">
        <v>531</v>
      </c>
      <c r="B120" s="5" t="s">
        <v>113</v>
      </c>
      <c r="C120" s="5">
        <v>0</v>
      </c>
      <c r="D120" s="5">
        <v>0</v>
      </c>
      <c r="E120" s="5">
        <v>0</v>
      </c>
      <c r="F120" s="5">
        <v>0.4</v>
      </c>
      <c r="G120" s="5">
        <v>17.600000000000001</v>
      </c>
      <c r="H120" s="5">
        <v>28.16</v>
      </c>
      <c r="I120" s="5">
        <v>14.549999999999999</v>
      </c>
      <c r="J120" s="5">
        <v>36.72</v>
      </c>
      <c r="K120" s="5">
        <v>73.44</v>
      </c>
      <c r="L120" s="5">
        <v>108.46</v>
      </c>
      <c r="M120" s="5">
        <v>63.919999999999995</v>
      </c>
      <c r="N120" s="5">
        <v>33.700000000000003</v>
      </c>
      <c r="O120" s="5">
        <v>13.77</v>
      </c>
      <c r="P120" s="5">
        <v>11.9</v>
      </c>
      <c r="Q120" s="5">
        <v>16</v>
      </c>
      <c r="R120" s="5">
        <v>70.5</v>
      </c>
      <c r="S120" s="5">
        <v>88.499985999999993</v>
      </c>
      <c r="T120" s="5">
        <v>106.29999600000001</v>
      </c>
      <c r="U120">
        <f>9*1.288889</f>
        <v>11.600000999999999</v>
      </c>
      <c r="V120" s="5">
        <v>0.2</v>
      </c>
      <c r="W120" s="5">
        <v>0</v>
      </c>
    </row>
    <row r="121" spans="1:23">
      <c r="A121" s="4">
        <v>540</v>
      </c>
      <c r="B121" s="5" t="s">
        <v>114</v>
      </c>
      <c r="C121" s="5">
        <f>27*3.303704</f>
        <v>89.200008000000011</v>
      </c>
      <c r="D121" s="5">
        <v>60.48</v>
      </c>
      <c r="E121" s="5">
        <v>44.66</v>
      </c>
      <c r="F121" s="5">
        <v>94.62</v>
      </c>
      <c r="G121" s="5">
        <v>80.289999999999992</v>
      </c>
      <c r="H121" s="5">
        <v>43.96</v>
      </c>
      <c r="I121" s="5">
        <v>14.77</v>
      </c>
      <c r="J121" s="5">
        <v>43.199999999999996</v>
      </c>
      <c r="K121" s="5">
        <v>67.350000000000009</v>
      </c>
      <c r="L121" s="5">
        <v>30.3</v>
      </c>
      <c r="M121" s="5">
        <v>12</v>
      </c>
      <c r="N121" s="5">
        <v>38.25</v>
      </c>
      <c r="O121" s="5">
        <v>49.35</v>
      </c>
      <c r="P121" s="5">
        <v>0.5</v>
      </c>
      <c r="Q121" s="5">
        <v>0.30000000000000004</v>
      </c>
      <c r="R121" s="5">
        <v>4.4000000000000004</v>
      </c>
      <c r="S121" s="5">
        <v>10.8</v>
      </c>
      <c r="T121" s="5">
        <v>9.4</v>
      </c>
      <c r="U121" s="5">
        <v>5</v>
      </c>
      <c r="V121">
        <f>6*2.4</f>
        <v>14.399999999999999</v>
      </c>
      <c r="W121" s="5">
        <v>0</v>
      </c>
    </row>
    <row r="122" spans="1:23">
      <c r="A122" s="4">
        <v>541</v>
      </c>
      <c r="B122" s="5" t="s">
        <v>115</v>
      </c>
      <c r="C122" s="5">
        <f>19*2.789474</f>
        <v>53.000005999999999</v>
      </c>
      <c r="D122" s="5">
        <v>27.37</v>
      </c>
      <c r="E122" s="5">
        <v>56.1</v>
      </c>
      <c r="F122" s="5">
        <v>11.399999999999999</v>
      </c>
      <c r="G122" s="5">
        <v>13.09</v>
      </c>
      <c r="H122" s="5">
        <v>0.8</v>
      </c>
      <c r="I122" s="5">
        <v>7.1</v>
      </c>
      <c r="J122" s="5">
        <v>0.1</v>
      </c>
      <c r="K122" s="5">
        <v>0.3</v>
      </c>
      <c r="L122" s="5">
        <v>0.1</v>
      </c>
      <c r="M122" s="5">
        <v>8.1999999999999993</v>
      </c>
      <c r="N122" s="5">
        <v>0.2</v>
      </c>
      <c r="O122" s="5">
        <v>0.6</v>
      </c>
      <c r="P122" s="5">
        <v>4.1999999999999993</v>
      </c>
      <c r="Q122" s="5">
        <v>0.1</v>
      </c>
      <c r="R122" s="5">
        <v>0.1</v>
      </c>
      <c r="S122" s="5">
        <v>4.8999999999999995</v>
      </c>
      <c r="T122" s="5">
        <v>15.899999999999999</v>
      </c>
      <c r="U122" s="5">
        <v>0.2</v>
      </c>
      <c r="V122" s="5">
        <v>0</v>
      </c>
      <c r="W122" s="5">
        <v>4</v>
      </c>
    </row>
    <row r="123" spans="1:23">
      <c r="A123" s="4">
        <v>551</v>
      </c>
      <c r="B123" s="5" t="s">
        <v>116</v>
      </c>
      <c r="C123" s="5">
        <f>11*2.281818</f>
        <v>25.099997999999999</v>
      </c>
      <c r="D123" s="5">
        <v>2.2999999999999998</v>
      </c>
      <c r="E123" s="5">
        <v>10.1</v>
      </c>
      <c r="F123" s="5">
        <v>39.449999999999996</v>
      </c>
      <c r="G123" s="5">
        <v>8.4699999999999989</v>
      </c>
      <c r="H123" s="5">
        <v>19.28</v>
      </c>
      <c r="I123" s="5">
        <v>4.72</v>
      </c>
      <c r="J123" s="5">
        <v>1.32</v>
      </c>
      <c r="K123" s="5">
        <v>12</v>
      </c>
      <c r="L123" s="5">
        <v>1.3</v>
      </c>
      <c r="M123" s="5">
        <v>20.54</v>
      </c>
      <c r="N123" s="5">
        <v>22.36</v>
      </c>
      <c r="O123" s="5">
        <v>17.399999999999999</v>
      </c>
      <c r="P123" s="5">
        <v>0.60000000000000009</v>
      </c>
      <c r="Q123" s="5">
        <v>9</v>
      </c>
      <c r="R123" s="5">
        <v>28.600002</v>
      </c>
      <c r="S123" s="5">
        <v>53.099997999999999</v>
      </c>
      <c r="T123" s="5">
        <v>30.399999000000001</v>
      </c>
      <c r="U123">
        <f>3*1.7</f>
        <v>5.0999999999999996</v>
      </c>
      <c r="V123" s="5">
        <v>0</v>
      </c>
      <c r="W123" s="5">
        <v>0.1</v>
      </c>
    </row>
    <row r="124" spans="1:23">
      <c r="A124" s="4">
        <v>552</v>
      </c>
      <c r="B124" s="5" t="s">
        <v>117</v>
      </c>
      <c r="C124" s="5">
        <f>8*1.375</f>
        <v>11</v>
      </c>
      <c r="D124" s="5">
        <v>12.58</v>
      </c>
      <c r="E124" s="5">
        <v>44.28</v>
      </c>
      <c r="F124" s="5">
        <v>23.36</v>
      </c>
      <c r="G124" s="5">
        <v>40.32</v>
      </c>
      <c r="H124" s="5">
        <v>21.669999999999998</v>
      </c>
      <c r="I124" s="5">
        <v>7.4</v>
      </c>
      <c r="J124" s="5">
        <v>23.1</v>
      </c>
      <c r="K124" s="5">
        <v>63.5</v>
      </c>
      <c r="L124" s="5">
        <v>42.3</v>
      </c>
      <c r="M124" s="5">
        <v>63.3</v>
      </c>
      <c r="N124" s="5">
        <v>68.78</v>
      </c>
      <c r="O124" s="5">
        <v>120.61999999999999</v>
      </c>
      <c r="P124" s="5">
        <v>57.399996000000002</v>
      </c>
      <c r="Q124" s="5">
        <v>52.999991999999999</v>
      </c>
      <c r="R124" s="5">
        <v>232.700028</v>
      </c>
      <c r="S124" s="5">
        <v>60.099999999999994</v>
      </c>
      <c r="T124" s="5">
        <v>102.899997</v>
      </c>
      <c r="U124">
        <f>20*2.49</f>
        <v>49.800000000000004</v>
      </c>
      <c r="V124">
        <f>3*1.4</f>
        <v>4.1999999999999993</v>
      </c>
      <c r="W124" s="5">
        <v>4.4000000000000004</v>
      </c>
    </row>
    <row r="125" spans="1:23">
      <c r="A125" s="4">
        <v>553</v>
      </c>
      <c r="B125" s="5" t="s">
        <v>118</v>
      </c>
      <c r="C125" s="5">
        <v>0</v>
      </c>
      <c r="D125" s="5">
        <v>0</v>
      </c>
      <c r="E125" s="5">
        <v>9.9</v>
      </c>
      <c r="F125" s="5">
        <v>0</v>
      </c>
      <c r="G125" s="5">
        <v>16.200000000000003</v>
      </c>
      <c r="H125" s="5">
        <v>0</v>
      </c>
      <c r="I125" s="5">
        <v>1.2</v>
      </c>
      <c r="J125" s="5">
        <v>5</v>
      </c>
      <c r="K125" s="5">
        <v>0</v>
      </c>
      <c r="L125" s="5">
        <v>0</v>
      </c>
      <c r="M125" s="5">
        <v>0.1</v>
      </c>
      <c r="N125" s="5">
        <v>0.2</v>
      </c>
      <c r="O125" s="5">
        <v>0</v>
      </c>
      <c r="P125" s="5">
        <v>4.5999990000000004</v>
      </c>
      <c r="Q125" s="5">
        <v>0.1</v>
      </c>
      <c r="R125" s="5">
        <v>24.200001</v>
      </c>
      <c r="S125" s="5">
        <v>0.1</v>
      </c>
      <c r="T125" s="5">
        <v>45.5</v>
      </c>
      <c r="U125">
        <f>3*4.7</f>
        <v>14.100000000000001</v>
      </c>
      <c r="V125" s="5">
        <v>0</v>
      </c>
      <c r="W125" s="5">
        <v>0</v>
      </c>
    </row>
    <row r="126" spans="1:23">
      <c r="A126" s="4">
        <v>560</v>
      </c>
      <c r="B126" s="5" t="s">
        <v>119</v>
      </c>
      <c r="C126" s="5">
        <f>65*1.181538</f>
        <v>76.799970000000002</v>
      </c>
      <c r="D126" s="5">
        <v>50.96</v>
      </c>
      <c r="E126" s="5">
        <v>122.00999999999999</v>
      </c>
      <c r="F126" s="5">
        <v>101.6</v>
      </c>
      <c r="G126" s="5">
        <v>140.61000000000001</v>
      </c>
      <c r="H126" s="5">
        <v>183.58</v>
      </c>
      <c r="I126" s="5">
        <v>154.94</v>
      </c>
      <c r="J126" s="5">
        <v>148.79999999999998</v>
      </c>
      <c r="K126" s="5">
        <v>148.79999999999998</v>
      </c>
      <c r="L126" s="5">
        <v>78</v>
      </c>
      <c r="M126" s="5">
        <v>115</v>
      </c>
      <c r="N126" s="5">
        <v>163.68</v>
      </c>
      <c r="O126" s="5">
        <v>129.72</v>
      </c>
      <c r="P126" s="5">
        <v>159.69997499999999</v>
      </c>
      <c r="Q126" s="5">
        <v>83.499989999999997</v>
      </c>
      <c r="R126" s="5">
        <v>101.69999999999999</v>
      </c>
      <c r="S126" s="5">
        <v>86.099997999999999</v>
      </c>
      <c r="T126" s="5">
        <v>57.000008000000001</v>
      </c>
      <c r="U126">
        <v>48.4</v>
      </c>
      <c r="V126">
        <f>17*0.9117647</f>
        <v>15.499999899999999</v>
      </c>
      <c r="W126" s="5">
        <v>2.2000000000000002</v>
      </c>
    </row>
    <row r="127" spans="1:23">
      <c r="A127" s="4">
        <v>565</v>
      </c>
      <c r="B127" s="5" t="s">
        <v>120</v>
      </c>
      <c r="C127" s="5">
        <f>9*2.944444</f>
        <v>26.499995999999999</v>
      </c>
      <c r="D127" s="5">
        <v>0.4</v>
      </c>
      <c r="E127" s="5">
        <v>13.5</v>
      </c>
      <c r="F127" s="5">
        <v>0.6</v>
      </c>
      <c r="G127" s="5">
        <v>0.2</v>
      </c>
      <c r="H127" s="5">
        <v>10.199999999999999</v>
      </c>
      <c r="I127" s="5">
        <v>0.4</v>
      </c>
      <c r="J127" s="5">
        <v>0.2</v>
      </c>
      <c r="K127" s="5">
        <v>13.71</v>
      </c>
      <c r="L127" s="5">
        <v>2.52</v>
      </c>
      <c r="M127" s="5">
        <v>35.200000000000003</v>
      </c>
      <c r="N127" s="5">
        <v>19.399999999999999</v>
      </c>
      <c r="O127" s="5">
        <v>23.1</v>
      </c>
      <c r="P127" s="5">
        <v>0.1</v>
      </c>
      <c r="Q127" s="5">
        <v>0.2</v>
      </c>
      <c r="R127" s="5">
        <v>9</v>
      </c>
      <c r="S127" s="5">
        <v>13.200000000000001</v>
      </c>
      <c r="T127" s="5">
        <v>18.999999000000003</v>
      </c>
      <c r="U127" s="5">
        <v>0</v>
      </c>
      <c r="V127" s="5">
        <v>0</v>
      </c>
      <c r="W127" s="5">
        <v>0</v>
      </c>
    </row>
    <row r="128" spans="1:23">
      <c r="A128" s="4">
        <v>570</v>
      </c>
      <c r="B128" s="5" t="s">
        <v>121</v>
      </c>
      <c r="C128" s="5">
        <v>0</v>
      </c>
      <c r="D128" s="5">
        <v>0</v>
      </c>
      <c r="E128" s="5">
        <v>0</v>
      </c>
      <c r="F128" s="5">
        <v>0</v>
      </c>
      <c r="G128" s="5">
        <v>2.7</v>
      </c>
      <c r="H128" s="5">
        <v>5</v>
      </c>
      <c r="I128" s="5">
        <v>0</v>
      </c>
      <c r="J128" s="5">
        <v>0</v>
      </c>
      <c r="K128" s="5">
        <v>17</v>
      </c>
      <c r="L128" s="5">
        <v>0</v>
      </c>
      <c r="M128" s="5">
        <v>0.1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</row>
    <row r="129" spans="1:23">
      <c r="A129" s="4">
        <v>571</v>
      </c>
      <c r="B129" s="5" t="s">
        <v>122</v>
      </c>
      <c r="C129" s="5">
        <f>3*1.4</f>
        <v>4.1999999999999993</v>
      </c>
      <c r="D129" s="5">
        <v>5</v>
      </c>
      <c r="E129" s="5">
        <v>2.4</v>
      </c>
      <c r="F129" s="5">
        <v>0.2</v>
      </c>
      <c r="G129" s="5">
        <v>25.52</v>
      </c>
      <c r="H129" s="5">
        <v>5.53</v>
      </c>
      <c r="I129" s="5">
        <v>0.1</v>
      </c>
      <c r="J129" s="5">
        <v>4.72</v>
      </c>
      <c r="K129" s="5">
        <v>8</v>
      </c>
      <c r="L129" s="5">
        <v>2.8</v>
      </c>
      <c r="M129" s="5">
        <v>10</v>
      </c>
      <c r="N129" s="5">
        <v>4.5999999999999996</v>
      </c>
      <c r="O129" s="5">
        <v>0.1</v>
      </c>
      <c r="P129" s="5">
        <v>2.2999999999999998</v>
      </c>
      <c r="Q129" s="5">
        <v>9.3000000000000007</v>
      </c>
      <c r="R129" s="5">
        <v>5.199999</v>
      </c>
      <c r="S129" s="5">
        <v>4</v>
      </c>
      <c r="T129" s="5">
        <v>9.9</v>
      </c>
      <c r="U129">
        <f>6*0.75</f>
        <v>4.5</v>
      </c>
      <c r="V129" s="5">
        <v>4.9000000000000004</v>
      </c>
      <c r="W129" s="5">
        <v>0</v>
      </c>
    </row>
    <row r="130" spans="1:23">
      <c r="A130" s="4">
        <v>572</v>
      </c>
      <c r="B130" s="5" t="s">
        <v>123</v>
      </c>
      <c r="C130" s="5">
        <v>5</v>
      </c>
      <c r="D130" s="5">
        <v>4.5</v>
      </c>
      <c r="E130" s="5">
        <v>13.200000000000001</v>
      </c>
      <c r="F130" s="5">
        <v>14.4</v>
      </c>
      <c r="G130" s="5">
        <v>4.4000000000000004</v>
      </c>
      <c r="H130" s="5">
        <v>14.100000000000001</v>
      </c>
      <c r="I130" s="5">
        <v>5</v>
      </c>
      <c r="J130" s="5">
        <v>5.2</v>
      </c>
      <c r="K130" s="5">
        <v>0.2</v>
      </c>
      <c r="L130" s="5">
        <v>0</v>
      </c>
      <c r="M130" s="5">
        <v>0.1</v>
      </c>
      <c r="N130" s="5">
        <v>0</v>
      </c>
      <c r="O130" s="5">
        <v>0.1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</row>
    <row r="131" spans="1:23">
      <c r="A131" s="4">
        <v>580</v>
      </c>
      <c r="B131" s="5" t="s">
        <v>124</v>
      </c>
      <c r="C131" s="5">
        <f>0.2</f>
        <v>0.2</v>
      </c>
      <c r="D131" s="5">
        <v>5</v>
      </c>
      <c r="E131" s="5">
        <v>0</v>
      </c>
      <c r="F131" s="5">
        <v>0.1</v>
      </c>
      <c r="G131" s="5">
        <v>0</v>
      </c>
      <c r="H131" s="5">
        <v>0</v>
      </c>
      <c r="I131" s="5">
        <v>5</v>
      </c>
      <c r="J131" s="5">
        <v>1</v>
      </c>
      <c r="K131" s="5">
        <v>0</v>
      </c>
      <c r="L131" s="5">
        <v>0</v>
      </c>
      <c r="M131" s="5">
        <v>0</v>
      </c>
      <c r="N131" s="5">
        <v>0</v>
      </c>
      <c r="O131" s="5">
        <v>4.0999999999999996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</row>
    <row r="132" spans="1:23">
      <c r="A132" s="4">
        <v>581</v>
      </c>
      <c r="B132" s="5" t="s">
        <v>125</v>
      </c>
      <c r="C132" s="5">
        <v>0.2</v>
      </c>
      <c r="D132" s="5">
        <v>0</v>
      </c>
      <c r="E132" s="5">
        <v>0.1</v>
      </c>
      <c r="F132" s="5">
        <v>0</v>
      </c>
      <c r="G132" s="5">
        <v>0.1</v>
      </c>
      <c r="H132" s="5">
        <v>0</v>
      </c>
      <c r="I132" s="5">
        <v>0</v>
      </c>
      <c r="J132" s="5">
        <v>0</v>
      </c>
      <c r="K132" s="5">
        <v>0</v>
      </c>
      <c r="L132" s="5">
        <v>0.1</v>
      </c>
      <c r="M132" s="5">
        <v>0</v>
      </c>
      <c r="N132" s="5">
        <v>5.2</v>
      </c>
      <c r="O132" s="5">
        <v>0</v>
      </c>
      <c r="P132" s="5">
        <v>0.1</v>
      </c>
      <c r="Q132" s="5">
        <v>4.5</v>
      </c>
      <c r="R132" s="5">
        <v>0</v>
      </c>
      <c r="S132" s="5">
        <v>0.1</v>
      </c>
      <c r="T132" s="5">
        <v>6.8</v>
      </c>
      <c r="U132" s="5">
        <v>4.9000000000000004</v>
      </c>
      <c r="V132" s="5">
        <v>2.4</v>
      </c>
      <c r="W132" s="5">
        <v>0</v>
      </c>
    </row>
    <row r="133" spans="1:23">
      <c r="A133" s="4">
        <v>590</v>
      </c>
      <c r="B133" s="5" t="s">
        <v>126</v>
      </c>
      <c r="C133" s="5">
        <v>6.6</v>
      </c>
      <c r="D133" s="5">
        <v>0.1</v>
      </c>
      <c r="E133" s="5">
        <v>0</v>
      </c>
      <c r="F133" s="5">
        <v>4.5999999999999996</v>
      </c>
      <c r="G133" s="5">
        <v>2.2000000000000002</v>
      </c>
      <c r="H133" s="5">
        <v>0.2</v>
      </c>
      <c r="I133" s="5">
        <v>0.6</v>
      </c>
      <c r="J133" s="5">
        <v>0.3</v>
      </c>
      <c r="K133" s="5">
        <v>0.1</v>
      </c>
      <c r="L133" s="5">
        <v>0.3</v>
      </c>
      <c r="M133" s="5">
        <v>0.1</v>
      </c>
      <c r="N133" s="5">
        <v>0</v>
      </c>
      <c r="O133" s="5">
        <v>3.21</v>
      </c>
      <c r="P133" s="5">
        <v>0.1</v>
      </c>
      <c r="Q133" s="5">
        <v>3.3999989999999998</v>
      </c>
      <c r="R133" s="5">
        <v>0.30000000000000004</v>
      </c>
      <c r="S133" s="5">
        <v>0</v>
      </c>
      <c r="T133" s="5">
        <v>4.5</v>
      </c>
      <c r="U133" s="5">
        <v>0</v>
      </c>
      <c r="V133" s="5">
        <v>0</v>
      </c>
      <c r="W133" s="5">
        <v>0.2</v>
      </c>
    </row>
    <row r="134" spans="1:23">
      <c r="A134" s="4">
        <v>591</v>
      </c>
      <c r="B134" s="5" t="s">
        <v>127</v>
      </c>
      <c r="C134" s="5">
        <v>0</v>
      </c>
      <c r="D134" s="5">
        <v>0</v>
      </c>
      <c r="E134" s="5">
        <v>0.1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10</v>
      </c>
      <c r="W134" s="5">
        <v>0</v>
      </c>
    </row>
    <row r="135" spans="1:23">
      <c r="A135" s="4">
        <v>600</v>
      </c>
      <c r="B135" s="5" t="s">
        <v>128</v>
      </c>
      <c r="C135" s="5">
        <f>18*2.9</f>
        <v>52.199999999999996</v>
      </c>
      <c r="D135" s="5">
        <v>54.279999999999994</v>
      </c>
      <c r="E135" s="5">
        <v>28.5</v>
      </c>
      <c r="F135" s="5">
        <v>28.8</v>
      </c>
      <c r="G135" s="5">
        <v>23.22</v>
      </c>
      <c r="H135" s="5">
        <v>60.260000000000005</v>
      </c>
      <c r="I135" s="5">
        <v>63.9</v>
      </c>
      <c r="J135" s="5">
        <v>57.599999999999994</v>
      </c>
      <c r="K135" s="5">
        <v>35</v>
      </c>
      <c r="L135" s="5">
        <v>42.9</v>
      </c>
      <c r="M135" s="5">
        <v>72.48</v>
      </c>
      <c r="N135" s="5">
        <v>77.809999999999988</v>
      </c>
      <c r="O135" s="5">
        <v>50.4</v>
      </c>
      <c r="P135" s="5">
        <v>32.099999999999994</v>
      </c>
      <c r="Q135" s="5">
        <v>42.5</v>
      </c>
      <c r="R135" s="5">
        <v>48.4</v>
      </c>
      <c r="S135" s="5">
        <v>36.799993999999998</v>
      </c>
      <c r="T135" s="5">
        <v>39.099997999999999</v>
      </c>
      <c r="U135">
        <f>3*4.933333</f>
        <v>14.799999</v>
      </c>
      <c r="V135" s="5">
        <v>7.6</v>
      </c>
      <c r="W135">
        <f>4*4.075</f>
        <v>16.3</v>
      </c>
    </row>
    <row r="136" spans="1:23">
      <c r="A136" s="4">
        <v>615</v>
      </c>
      <c r="B136" s="5" t="s">
        <v>129</v>
      </c>
      <c r="C136" s="5">
        <f>23*1.182609</f>
        <v>27.200006999999999</v>
      </c>
      <c r="D136" s="5">
        <v>49</v>
      </c>
      <c r="E136" s="5">
        <v>27.54</v>
      </c>
      <c r="F136" s="5">
        <v>35.56</v>
      </c>
      <c r="G136" s="5">
        <v>119.7</v>
      </c>
      <c r="H136" s="5">
        <v>101.64</v>
      </c>
      <c r="I136" s="5">
        <v>41.25</v>
      </c>
      <c r="J136" s="5">
        <v>61.750000000000007</v>
      </c>
      <c r="K136" s="5">
        <v>49.72</v>
      </c>
      <c r="L136" s="5">
        <v>42.96</v>
      </c>
      <c r="M136" s="5">
        <v>14.44</v>
      </c>
      <c r="N136" s="5">
        <v>48.300000000000004</v>
      </c>
      <c r="O136" s="5">
        <v>21.34</v>
      </c>
      <c r="P136" s="5">
        <v>4.6999999999999993</v>
      </c>
      <c r="Q136" s="5">
        <v>7</v>
      </c>
      <c r="R136" s="5">
        <v>32.200003000000002</v>
      </c>
      <c r="S136" s="5">
        <v>28.8</v>
      </c>
      <c r="T136" s="5">
        <v>80.099999999999994</v>
      </c>
      <c r="U136">
        <f>2*1.15</f>
        <v>2.2999999999999998</v>
      </c>
      <c r="V136">
        <f>3*3.3</f>
        <v>9.8999999999999986</v>
      </c>
      <c r="W136">
        <f>4*2.35</f>
        <v>9.4</v>
      </c>
    </row>
    <row r="137" spans="1:23">
      <c r="A137" s="4">
        <v>616</v>
      </c>
      <c r="B137" s="5" t="s">
        <v>130</v>
      </c>
      <c r="C137" s="5">
        <f>12*0.8666667</f>
        <v>10.4000004</v>
      </c>
      <c r="D137" s="5">
        <v>22.400000000000002</v>
      </c>
      <c r="E137" s="5">
        <v>16.559999999999999</v>
      </c>
      <c r="F137" s="5">
        <v>8.82</v>
      </c>
      <c r="G137" s="5">
        <v>21.71</v>
      </c>
      <c r="H137" s="5">
        <v>11.2</v>
      </c>
      <c r="I137" s="5">
        <v>14.13</v>
      </c>
      <c r="J137" s="5">
        <v>3.3600000000000003</v>
      </c>
      <c r="K137" s="5">
        <v>12</v>
      </c>
      <c r="L137" s="5">
        <v>2.8</v>
      </c>
      <c r="M137" s="5">
        <v>0.6</v>
      </c>
      <c r="N137" s="5">
        <v>17.12</v>
      </c>
      <c r="O137" s="5">
        <v>15.1</v>
      </c>
      <c r="P137" s="5">
        <v>2.5</v>
      </c>
      <c r="Q137" s="5">
        <v>13.7</v>
      </c>
      <c r="R137" s="5">
        <v>28.300005000000002</v>
      </c>
      <c r="S137" s="5">
        <v>42</v>
      </c>
      <c r="T137" s="5">
        <v>4.0999999999999996</v>
      </c>
      <c r="U137" s="5">
        <v>0</v>
      </c>
      <c r="V137">
        <f>5*0.88</f>
        <v>4.4000000000000004</v>
      </c>
      <c r="W137" s="5">
        <v>0</v>
      </c>
    </row>
    <row r="138" spans="1:23">
      <c r="A138" s="4">
        <v>620</v>
      </c>
      <c r="B138" s="5" t="s">
        <v>131</v>
      </c>
      <c r="C138" s="5">
        <f>47*1.67234</f>
        <v>78.599980000000002</v>
      </c>
      <c r="D138" s="5">
        <v>103.6</v>
      </c>
      <c r="E138" s="5">
        <v>67.649999999999991</v>
      </c>
      <c r="F138" s="5">
        <v>50.49</v>
      </c>
      <c r="G138" s="5">
        <v>61.180000000000007</v>
      </c>
      <c r="H138" s="5">
        <v>120.05000000000001</v>
      </c>
      <c r="I138" s="5">
        <v>110.25</v>
      </c>
      <c r="J138" s="5">
        <v>21.599999999999998</v>
      </c>
      <c r="K138" s="5">
        <v>37.24</v>
      </c>
      <c r="L138" s="5">
        <v>44.82</v>
      </c>
      <c r="M138" s="5">
        <v>25.74</v>
      </c>
      <c r="N138" s="5">
        <v>54</v>
      </c>
      <c r="O138" s="5">
        <v>40.879999999999995</v>
      </c>
      <c r="P138" s="5">
        <v>5.3999999999999995</v>
      </c>
      <c r="Q138" s="5">
        <v>23.4</v>
      </c>
      <c r="R138" s="5">
        <v>1.8699996000000001</v>
      </c>
      <c r="S138" s="5">
        <v>57.499987999999995</v>
      </c>
      <c r="T138" s="5">
        <v>71.099991000000003</v>
      </c>
      <c r="U138">
        <f>14*2.835714</f>
        <v>39.699995999999999</v>
      </c>
      <c r="V138">
        <v>5.2</v>
      </c>
      <c r="W138">
        <f>5*2.78</f>
        <v>13.899999999999999</v>
      </c>
    </row>
    <row r="139" spans="1:23">
      <c r="A139" s="4">
        <v>625</v>
      </c>
      <c r="B139" s="5" t="s">
        <v>132</v>
      </c>
      <c r="C139" s="5">
        <f>32*3.5875</f>
        <v>114.8</v>
      </c>
      <c r="D139" s="5">
        <v>27.68</v>
      </c>
      <c r="E139" s="5">
        <v>42</v>
      </c>
      <c r="F139" s="5">
        <v>54</v>
      </c>
      <c r="G139" s="5">
        <v>51.84</v>
      </c>
      <c r="H139" s="5">
        <v>148.08999999999997</v>
      </c>
      <c r="I139" s="5">
        <v>139.04999999999998</v>
      </c>
      <c r="J139" s="5">
        <v>87.360000000000014</v>
      </c>
      <c r="K139" s="5">
        <v>71.940000000000012</v>
      </c>
      <c r="L139" s="5">
        <v>52.64</v>
      </c>
      <c r="M139" s="5">
        <v>40.32</v>
      </c>
      <c r="N139" s="5">
        <v>55.889999999999993</v>
      </c>
      <c r="O139" s="5">
        <v>72.599999999999994</v>
      </c>
      <c r="P139" s="5">
        <v>31.000005000000002</v>
      </c>
      <c r="Q139" s="5">
        <v>121.29998400000001</v>
      </c>
      <c r="R139" s="5">
        <v>126.09999400000001</v>
      </c>
      <c r="S139" s="5">
        <v>191.5</v>
      </c>
      <c r="T139" s="5">
        <v>244.60000400000001</v>
      </c>
      <c r="U139">
        <v>73</v>
      </c>
      <c r="V139">
        <f>11*1.781818</f>
        <v>19.599997999999999</v>
      </c>
      <c r="W139">
        <f>3*1.8</f>
        <v>5.4</v>
      </c>
    </row>
    <row r="140" spans="1:23">
      <c r="A140" s="4">
        <v>630</v>
      </c>
      <c r="B140" s="5" t="s">
        <v>133</v>
      </c>
      <c r="C140" s="5">
        <f>179*1.363129</f>
        <v>244.000091</v>
      </c>
      <c r="D140" s="5">
        <v>315.90000000000003</v>
      </c>
      <c r="E140" s="5">
        <v>255.51</v>
      </c>
      <c r="F140" s="5">
        <v>331.5</v>
      </c>
      <c r="G140" s="5">
        <v>366.39</v>
      </c>
      <c r="H140" s="5">
        <v>265.71999999999997</v>
      </c>
      <c r="I140" s="5">
        <v>403.85</v>
      </c>
      <c r="J140" s="5">
        <v>462.58</v>
      </c>
      <c r="K140" s="5">
        <v>421.88</v>
      </c>
      <c r="L140" s="5">
        <v>368.14</v>
      </c>
      <c r="M140" s="5">
        <v>431.25</v>
      </c>
      <c r="N140" s="5">
        <v>281.93</v>
      </c>
      <c r="O140" s="5">
        <v>226.1</v>
      </c>
      <c r="P140" s="5">
        <v>188.40002000000001</v>
      </c>
      <c r="Q140" s="5">
        <v>273.400036</v>
      </c>
      <c r="R140" s="5">
        <v>652.70001000000002</v>
      </c>
      <c r="S140" s="5">
        <v>895.39995600000009</v>
      </c>
      <c r="T140" s="5">
        <v>949.49985000000004</v>
      </c>
      <c r="U140">
        <f>86*2.462791</f>
        <v>211.800026</v>
      </c>
      <c r="V140">
        <f>94*2.223404</f>
        <v>208.999976</v>
      </c>
      <c r="W140">
        <f>73*1.99863</f>
        <v>145.89999</v>
      </c>
    </row>
    <row r="141" spans="1:23">
      <c r="A141" s="4">
        <v>640</v>
      </c>
      <c r="B141" s="5" t="s">
        <v>134</v>
      </c>
      <c r="C141" s="5">
        <f>73*2.141096</f>
        <v>156.30000800000002</v>
      </c>
      <c r="D141" s="5">
        <v>202.51999999999998</v>
      </c>
      <c r="E141" s="5">
        <v>225.42000000000002</v>
      </c>
      <c r="F141" s="5">
        <v>254.88</v>
      </c>
      <c r="G141" s="5">
        <v>251.67999999999998</v>
      </c>
      <c r="H141" s="5">
        <v>292.32</v>
      </c>
      <c r="I141" s="5">
        <v>290.40000000000003</v>
      </c>
      <c r="J141" s="5">
        <v>311.52</v>
      </c>
      <c r="K141" s="5">
        <v>493.12</v>
      </c>
      <c r="L141" s="5">
        <v>172</v>
      </c>
      <c r="M141" s="5">
        <v>174.24</v>
      </c>
      <c r="N141" s="5">
        <v>114.75000000000001</v>
      </c>
      <c r="O141" s="5">
        <v>128.59</v>
      </c>
      <c r="P141" s="5">
        <v>265.90002899999996</v>
      </c>
      <c r="Q141" s="5">
        <v>62.799981999999993</v>
      </c>
      <c r="R141" s="5">
        <v>211.49999400000002</v>
      </c>
      <c r="S141" s="5">
        <v>256.29999900000001</v>
      </c>
      <c r="T141" s="5">
        <v>633.20005000000003</v>
      </c>
      <c r="U141">
        <f>41*5.607317</f>
        <v>229.89999700000001</v>
      </c>
      <c r="V141">
        <f>32*1.8375</f>
        <v>58.8</v>
      </c>
      <c r="W141">
        <f>27*2.925926</f>
        <v>79.000001999999995</v>
      </c>
    </row>
    <row r="142" spans="1:23">
      <c r="A142" s="4">
        <v>645</v>
      </c>
      <c r="B142" s="5" t="s">
        <v>135</v>
      </c>
      <c r="C142" s="5">
        <f>527*3.292789</f>
        <v>1735.2998029999999</v>
      </c>
      <c r="D142" s="5">
        <v>1519.31</v>
      </c>
      <c r="E142" s="5">
        <v>299.71999999999997</v>
      </c>
      <c r="F142" s="5">
        <v>362.25</v>
      </c>
      <c r="G142" s="5">
        <v>197.2</v>
      </c>
      <c r="H142" s="5">
        <v>212.28</v>
      </c>
      <c r="I142" s="5">
        <v>424.70000000000005</v>
      </c>
      <c r="J142" s="5">
        <v>367.20000000000005</v>
      </c>
      <c r="K142" s="5">
        <v>446.2</v>
      </c>
      <c r="L142" s="5">
        <v>428.34000000000003</v>
      </c>
      <c r="M142" s="5">
        <v>349.03</v>
      </c>
      <c r="N142" s="5">
        <v>322</v>
      </c>
      <c r="O142" s="5">
        <v>550.79999999999995</v>
      </c>
      <c r="P142" s="5">
        <v>1271.9000840000001</v>
      </c>
      <c r="Q142" s="5">
        <v>1223.1000340000001</v>
      </c>
      <c r="R142" s="5">
        <v>1379.0999400000001</v>
      </c>
      <c r="S142" s="5">
        <v>1015.3000609999999</v>
      </c>
      <c r="T142" s="5">
        <v>993.400038</v>
      </c>
      <c r="U142">
        <f>43*2.84186</f>
        <v>122.19998</v>
      </c>
      <c r="V142">
        <v>61</v>
      </c>
      <c r="W142">
        <f>8*1.3375</f>
        <v>10.7</v>
      </c>
    </row>
    <row r="143" spans="1:23">
      <c r="A143" s="4">
        <v>651</v>
      </c>
      <c r="B143" s="5" t="s">
        <v>136</v>
      </c>
      <c r="C143" s="5">
        <f>111*2.012613</f>
        <v>223.40004300000001</v>
      </c>
      <c r="D143" s="5">
        <v>180.55</v>
      </c>
      <c r="E143" s="5">
        <v>179.39999999999998</v>
      </c>
      <c r="F143" s="5">
        <v>57.999999999999993</v>
      </c>
      <c r="G143" s="5">
        <v>140.94</v>
      </c>
      <c r="H143" s="5">
        <v>256.45</v>
      </c>
      <c r="I143" s="5">
        <v>213.07</v>
      </c>
      <c r="J143" s="5">
        <v>153.47</v>
      </c>
      <c r="K143" s="5">
        <v>104.80000000000001</v>
      </c>
      <c r="L143" s="5">
        <v>51.41</v>
      </c>
      <c r="M143" s="5">
        <v>85.09</v>
      </c>
      <c r="N143" s="5">
        <v>160.29000000000002</v>
      </c>
      <c r="O143" s="5">
        <v>117.48</v>
      </c>
      <c r="P143" s="5">
        <v>101.00001</v>
      </c>
      <c r="Q143" s="5">
        <v>76.100006999999991</v>
      </c>
      <c r="R143" s="5">
        <v>306.20001200000002</v>
      </c>
      <c r="S143" s="5">
        <v>172.09997999999999</v>
      </c>
      <c r="T143" s="5">
        <v>256.10004000000004</v>
      </c>
      <c r="U143">
        <f>66*3.706061</f>
        <v>244.60002600000001</v>
      </c>
      <c r="V143">
        <v>89.4</v>
      </c>
      <c r="W143">
        <v>88.7</v>
      </c>
    </row>
    <row r="144" spans="1:23">
      <c r="A144" s="4">
        <v>652</v>
      </c>
      <c r="B144" s="5" t="s">
        <v>137</v>
      </c>
      <c r="C144" s="5">
        <f>84*2.744048</f>
        <v>230.50003199999998</v>
      </c>
      <c r="D144" s="5">
        <v>12.125</v>
      </c>
      <c r="E144" s="5">
        <v>122.39999999999999</v>
      </c>
      <c r="F144" s="5">
        <v>81.42</v>
      </c>
      <c r="G144" s="5">
        <v>121.8</v>
      </c>
      <c r="H144" s="5">
        <v>144.96</v>
      </c>
      <c r="I144" s="5">
        <v>237.60000000000002</v>
      </c>
      <c r="J144" s="5">
        <v>96.66</v>
      </c>
      <c r="K144" s="5">
        <v>66.150000000000006</v>
      </c>
      <c r="L144" s="5">
        <v>78</v>
      </c>
      <c r="M144" s="5">
        <v>161.71</v>
      </c>
      <c r="N144" s="5">
        <v>111.72</v>
      </c>
      <c r="O144" s="5">
        <v>99.960000000000008</v>
      </c>
      <c r="P144" s="5">
        <v>138.30001199999998</v>
      </c>
      <c r="Q144" s="5">
        <v>74.29999500000001</v>
      </c>
      <c r="R144" s="5">
        <v>366.89999399999999</v>
      </c>
      <c r="S144" s="5">
        <v>207.19996999999998</v>
      </c>
      <c r="T144" s="5">
        <v>164.29999500000002</v>
      </c>
      <c r="U144">
        <v>52.9</v>
      </c>
      <c r="V144" s="5">
        <v>6.3</v>
      </c>
      <c r="W144" s="534">
        <f>7*1.9</f>
        <v>13.299999999999999</v>
      </c>
    </row>
    <row r="145" spans="1:23">
      <c r="A145" s="4">
        <v>660</v>
      </c>
      <c r="B145" s="5" t="s">
        <v>138</v>
      </c>
      <c r="C145" s="5">
        <f>40*2.1975</f>
        <v>87.899999999999991</v>
      </c>
      <c r="D145" s="5">
        <v>103.04</v>
      </c>
      <c r="E145" s="5">
        <v>235.03999999999996</v>
      </c>
      <c r="F145" s="5">
        <v>209.96</v>
      </c>
      <c r="G145" s="5">
        <v>199.06</v>
      </c>
      <c r="H145" s="5">
        <v>163.59</v>
      </c>
      <c r="I145" s="5">
        <v>208.56</v>
      </c>
      <c r="J145" s="5">
        <v>162.6</v>
      </c>
      <c r="K145" s="5">
        <v>132.5</v>
      </c>
      <c r="L145" s="5">
        <v>91.199999999999989</v>
      </c>
      <c r="M145" s="5">
        <v>317.76</v>
      </c>
      <c r="N145" s="5">
        <v>199.71</v>
      </c>
      <c r="O145" s="5">
        <v>145.5</v>
      </c>
      <c r="P145" s="5">
        <v>136.699986</v>
      </c>
      <c r="Q145" s="5">
        <v>53.7</v>
      </c>
      <c r="R145" s="5">
        <v>357.59989100000001</v>
      </c>
      <c r="S145" s="5">
        <v>770.90011200000004</v>
      </c>
      <c r="T145" s="5">
        <v>339.80002200000001</v>
      </c>
      <c r="U145" s="5">
        <v>49.8</v>
      </c>
      <c r="V145">
        <f>4*2.375</f>
        <v>9.5</v>
      </c>
      <c r="W145">
        <f>6*1.35</f>
        <v>8.1000000000000014</v>
      </c>
    </row>
    <row r="146" spans="1:23">
      <c r="A146" s="4">
        <v>663</v>
      </c>
      <c r="B146" s="5" t="s">
        <v>139</v>
      </c>
      <c r="C146" s="5">
        <f>71*1.904225</f>
        <v>135.19997499999999</v>
      </c>
      <c r="D146" s="5">
        <v>138.6</v>
      </c>
      <c r="E146" s="5">
        <v>55.04</v>
      </c>
      <c r="F146" s="5">
        <v>34.799999999999997</v>
      </c>
      <c r="G146" s="5">
        <v>58.28</v>
      </c>
      <c r="H146" s="5">
        <v>104.96</v>
      </c>
      <c r="I146" s="5">
        <v>97.149999999999991</v>
      </c>
      <c r="J146" s="5">
        <v>136.04</v>
      </c>
      <c r="K146" s="5">
        <v>56</v>
      </c>
      <c r="L146" s="5">
        <v>34.54</v>
      </c>
      <c r="M146" s="5">
        <v>42.919999999999995</v>
      </c>
      <c r="N146" s="5">
        <v>43.56</v>
      </c>
      <c r="O146" s="5">
        <v>39.75</v>
      </c>
      <c r="P146" s="5">
        <v>45.000003</v>
      </c>
      <c r="Q146" s="5">
        <v>33.199999999999996</v>
      </c>
      <c r="R146" s="5">
        <v>139.70002500000001</v>
      </c>
      <c r="S146" s="5">
        <v>102.49998000000001</v>
      </c>
      <c r="T146" s="5">
        <v>56.799983999999995</v>
      </c>
      <c r="U146">
        <f>8*2.7</f>
        <v>21.6</v>
      </c>
      <c r="V146">
        <f>2*5.95</f>
        <v>11.9</v>
      </c>
      <c r="W146" s="5">
        <v>0</v>
      </c>
    </row>
    <row r="147" spans="1:23">
      <c r="A147" s="4">
        <v>666</v>
      </c>
      <c r="B147" s="5" t="s">
        <v>140</v>
      </c>
      <c r="C147" s="5">
        <f>132*2.430303</f>
        <v>320.79999599999996</v>
      </c>
      <c r="D147" s="5">
        <v>470.83000000000004</v>
      </c>
      <c r="E147" s="5">
        <v>518.61</v>
      </c>
      <c r="F147" s="5">
        <v>524.70000000000005</v>
      </c>
      <c r="G147" s="5">
        <v>364</v>
      </c>
      <c r="H147" s="5">
        <v>471.42</v>
      </c>
      <c r="I147" s="5">
        <v>763.19999999999993</v>
      </c>
      <c r="J147" s="5">
        <v>464.64</v>
      </c>
      <c r="K147" s="5">
        <v>403.63</v>
      </c>
      <c r="L147" s="5">
        <v>358.56</v>
      </c>
      <c r="M147" s="5">
        <v>630.54</v>
      </c>
      <c r="N147" s="5">
        <v>468.16</v>
      </c>
      <c r="O147" s="5">
        <v>371.8</v>
      </c>
      <c r="P147" s="5">
        <v>341.899945</v>
      </c>
      <c r="Q147" s="5">
        <v>313.09999299999998</v>
      </c>
      <c r="R147" s="5">
        <v>666.20010600000001</v>
      </c>
      <c r="S147" s="5">
        <v>4645.5999280000005</v>
      </c>
      <c r="T147" s="5">
        <v>584.79996399999993</v>
      </c>
      <c r="U147">
        <v>897.7</v>
      </c>
      <c r="V147">
        <f>122*4.542623</f>
        <v>554.20000600000003</v>
      </c>
      <c r="W147">
        <f>86*3.981395</f>
        <v>342.39997</v>
      </c>
    </row>
    <row r="148" spans="1:23">
      <c r="A148" s="4">
        <v>670</v>
      </c>
      <c r="B148" s="5" t="s">
        <v>141</v>
      </c>
      <c r="C148" s="5">
        <f>152*1.482895</f>
        <v>225.40004000000002</v>
      </c>
      <c r="D148" s="5">
        <v>85.8</v>
      </c>
      <c r="E148" s="5">
        <v>84.15</v>
      </c>
      <c r="F148" s="5">
        <v>81.62</v>
      </c>
      <c r="G148" s="5">
        <v>126</v>
      </c>
      <c r="H148" s="5">
        <v>138.06</v>
      </c>
      <c r="I148" s="5">
        <v>197.88</v>
      </c>
      <c r="J148" s="5">
        <v>543.19999999999993</v>
      </c>
      <c r="K148" s="5">
        <v>131.15</v>
      </c>
      <c r="L148" s="5">
        <v>338.35</v>
      </c>
      <c r="M148" s="5">
        <v>513.6</v>
      </c>
      <c r="N148" s="5">
        <v>319.2</v>
      </c>
      <c r="O148" s="5">
        <v>234.78</v>
      </c>
      <c r="P148" s="5">
        <v>321.10000299999996</v>
      </c>
      <c r="Q148" s="5">
        <v>203.69997900000001</v>
      </c>
      <c r="R148" s="5">
        <v>440.10001199999999</v>
      </c>
      <c r="S148" s="5">
        <v>330.40003200000001</v>
      </c>
      <c r="T148" s="5">
        <v>480.99999599999995</v>
      </c>
      <c r="U148">
        <f>16*0.79375</f>
        <v>12.7</v>
      </c>
      <c r="V148">
        <f>18*3.011111</f>
        <v>54.199998000000001</v>
      </c>
      <c r="W148" s="5">
        <v>47.1</v>
      </c>
    </row>
    <row r="149" spans="1:23">
      <c r="A149" s="4">
        <v>679</v>
      </c>
      <c r="B149" s="5" t="s">
        <v>142</v>
      </c>
      <c r="C149" s="5">
        <f>17*1.664706</f>
        <v>28.300001999999999</v>
      </c>
      <c r="D149" s="5">
        <v>19.559999999999999</v>
      </c>
      <c r="E149" s="5">
        <v>9.1999999999999993</v>
      </c>
      <c r="F149" s="5">
        <v>16.2</v>
      </c>
      <c r="G149" s="5">
        <v>45.99</v>
      </c>
      <c r="H149" s="5">
        <v>35.020000000000003</v>
      </c>
      <c r="I149" s="5">
        <v>25.8</v>
      </c>
      <c r="J149" s="5">
        <v>75.599999999999994</v>
      </c>
      <c r="K149" s="5">
        <v>86.5</v>
      </c>
      <c r="L149" s="5">
        <v>67.48</v>
      </c>
      <c r="M149" s="5">
        <v>45.32</v>
      </c>
      <c r="N149" s="5">
        <v>90.960000000000008</v>
      </c>
      <c r="O149" s="5">
        <v>62.370000000000005</v>
      </c>
      <c r="P149" s="5">
        <v>25.499998999999999</v>
      </c>
      <c r="Q149" s="5">
        <v>26.099999999999998</v>
      </c>
      <c r="R149" s="5">
        <v>13.600002</v>
      </c>
      <c r="S149" s="5">
        <v>31.799996</v>
      </c>
      <c r="T149" s="5">
        <v>89.600000000000009</v>
      </c>
      <c r="U149">
        <f>6*3.85</f>
        <v>23.1</v>
      </c>
      <c r="V149">
        <v>69.400000000000006</v>
      </c>
      <c r="W149" s="5">
        <v>43.3</v>
      </c>
    </row>
    <row r="150" spans="1:23">
      <c r="A150" s="4">
        <v>690</v>
      </c>
      <c r="B150" s="5" t="s">
        <v>143</v>
      </c>
      <c r="C150" s="5">
        <f>127*2.325197</f>
        <v>295.30001900000002</v>
      </c>
      <c r="D150" s="5">
        <v>139.92000000000002</v>
      </c>
      <c r="E150" s="5">
        <v>69.81</v>
      </c>
      <c r="F150" s="5">
        <v>108.5</v>
      </c>
      <c r="G150" s="5">
        <v>121.03000000000002</v>
      </c>
      <c r="H150" s="5">
        <v>128.15</v>
      </c>
      <c r="I150" s="5">
        <v>77.28</v>
      </c>
      <c r="J150" s="5">
        <v>30.2</v>
      </c>
      <c r="K150" s="5">
        <v>56.429999999999993</v>
      </c>
      <c r="L150" s="5">
        <v>46.199999999999996</v>
      </c>
      <c r="M150" s="5">
        <v>86.58</v>
      </c>
      <c r="N150" s="5">
        <v>78.28</v>
      </c>
      <c r="O150" s="5">
        <v>88.56</v>
      </c>
      <c r="P150" s="5">
        <v>55.099989000000001</v>
      </c>
      <c r="Q150" s="5">
        <v>45.099999999999994</v>
      </c>
      <c r="R150" s="5">
        <v>82.900003999999996</v>
      </c>
      <c r="S150" s="5">
        <v>58.200005000000004</v>
      </c>
      <c r="T150" s="5">
        <v>14.799999400000001</v>
      </c>
      <c r="U150">
        <f>6*3.083333</f>
        <v>18.499998000000001</v>
      </c>
      <c r="V150" s="5">
        <v>0.6</v>
      </c>
      <c r="W150">
        <f>12*0.75</f>
        <v>9</v>
      </c>
    </row>
    <row r="151" spans="1:23">
      <c r="A151" s="4">
        <v>692</v>
      </c>
      <c r="B151" s="5" t="s">
        <v>144</v>
      </c>
      <c r="C151" s="5">
        <f>18*0.55</f>
        <v>9.9</v>
      </c>
      <c r="D151" s="5">
        <v>27.799999999999997</v>
      </c>
      <c r="E151" s="5">
        <v>12.16</v>
      </c>
      <c r="F151" s="5">
        <v>4.8000000000000007</v>
      </c>
      <c r="G151" s="5">
        <v>9.6999999999999993</v>
      </c>
      <c r="H151" s="5">
        <v>22.24</v>
      </c>
      <c r="I151" s="5">
        <v>48.3</v>
      </c>
      <c r="J151" s="5">
        <v>18.88</v>
      </c>
      <c r="K151" s="5">
        <v>5.04</v>
      </c>
      <c r="L151" s="5">
        <v>11.61</v>
      </c>
      <c r="M151" s="5">
        <v>4.95</v>
      </c>
      <c r="N151" s="5">
        <v>25.48</v>
      </c>
      <c r="O151" s="5">
        <v>19.25</v>
      </c>
      <c r="P151" s="5">
        <v>29.800003999999998</v>
      </c>
      <c r="Q151" s="5">
        <v>0</v>
      </c>
      <c r="R151" s="5">
        <v>24.5</v>
      </c>
      <c r="S151" s="5">
        <v>22.999998000000001</v>
      </c>
      <c r="T151" s="5">
        <v>6.5</v>
      </c>
      <c r="U151" s="5">
        <v>0.2</v>
      </c>
      <c r="V151">
        <f>0.7</f>
        <v>0.7</v>
      </c>
      <c r="W151" s="5">
        <v>0.3</v>
      </c>
    </row>
    <row r="152" spans="1:23">
      <c r="A152" s="4">
        <v>694</v>
      </c>
      <c r="B152" s="5" t="s">
        <v>145</v>
      </c>
      <c r="C152" s="5">
        <f>15*0.38</f>
        <v>5.7</v>
      </c>
      <c r="D152" s="5">
        <v>7.95</v>
      </c>
      <c r="E152" s="5">
        <v>17.399999999999999</v>
      </c>
      <c r="F152" s="5">
        <v>2.2000000000000002</v>
      </c>
      <c r="G152" s="5">
        <v>16.900000000000002</v>
      </c>
      <c r="H152" s="5">
        <v>22.05</v>
      </c>
      <c r="I152" s="5">
        <v>29.24</v>
      </c>
      <c r="J152" s="5">
        <v>28.080000000000002</v>
      </c>
      <c r="K152" s="5">
        <v>5.94</v>
      </c>
      <c r="L152" s="5">
        <v>3.5</v>
      </c>
      <c r="M152" s="5">
        <v>19.239999999999998</v>
      </c>
      <c r="N152" s="5">
        <v>19.78</v>
      </c>
      <c r="O152" s="5">
        <v>2.2999999999999998</v>
      </c>
      <c r="P152" s="5">
        <v>6.4</v>
      </c>
      <c r="Q152" s="5">
        <v>29.499997999999998</v>
      </c>
      <c r="R152" s="5">
        <v>1.5</v>
      </c>
      <c r="S152" s="5">
        <v>25.6</v>
      </c>
      <c r="T152" s="5">
        <v>30.599993999999999</v>
      </c>
      <c r="U152">
        <f>4*2.575</f>
        <v>10.3</v>
      </c>
      <c r="V152">
        <v>7.6</v>
      </c>
      <c r="W152" s="5">
        <v>0.3</v>
      </c>
    </row>
    <row r="153" spans="1:23">
      <c r="A153" s="4">
        <v>696</v>
      </c>
      <c r="B153" s="5" t="s">
        <v>146</v>
      </c>
      <c r="C153" s="5">
        <f>24*1.016667</f>
        <v>24.400008</v>
      </c>
      <c r="D153" s="5">
        <v>0.9</v>
      </c>
      <c r="E153" s="5">
        <v>25</v>
      </c>
      <c r="F153" s="5">
        <v>20.439999999999998</v>
      </c>
      <c r="G153" s="5">
        <v>33.82</v>
      </c>
      <c r="H153" s="5">
        <v>14.56</v>
      </c>
      <c r="I153" s="5">
        <v>30.240000000000002</v>
      </c>
      <c r="J153" s="5">
        <v>30.240000000000002</v>
      </c>
      <c r="K153" s="5">
        <v>58.52</v>
      </c>
      <c r="L153" s="5">
        <v>31.919999999999998</v>
      </c>
      <c r="M153" s="5">
        <v>54.019999999999996</v>
      </c>
      <c r="N153" s="5">
        <v>57.24</v>
      </c>
      <c r="O153" s="5">
        <v>18.75</v>
      </c>
      <c r="P153" s="5">
        <v>8.600000399999999</v>
      </c>
      <c r="Q153" s="5">
        <v>11.899999999999999</v>
      </c>
      <c r="R153" s="5">
        <v>22.600005999999997</v>
      </c>
      <c r="S153" s="5">
        <v>40.699991999999995</v>
      </c>
      <c r="T153" s="5">
        <v>51.699987999999998</v>
      </c>
      <c r="U153">
        <f>20*1.095</f>
        <v>21.9</v>
      </c>
      <c r="V153">
        <f>19*1.3</f>
        <v>24.7</v>
      </c>
      <c r="W153">
        <f>14*1.55</f>
        <v>21.7</v>
      </c>
    </row>
    <row r="154" spans="1:23">
      <c r="A154" s="4">
        <v>698</v>
      </c>
      <c r="B154" s="5" t="s">
        <v>147</v>
      </c>
      <c r="C154" s="5">
        <f>17*0.8941176</f>
        <v>15.199999199999999</v>
      </c>
      <c r="D154" s="5">
        <v>0.5</v>
      </c>
      <c r="E154" s="5">
        <v>7.6</v>
      </c>
      <c r="F154" s="5">
        <v>0.6</v>
      </c>
      <c r="G154" s="5">
        <v>5.67</v>
      </c>
      <c r="H154" s="5">
        <v>7.1999999999999993</v>
      </c>
      <c r="I154" s="5">
        <v>16.740000000000002</v>
      </c>
      <c r="J154" s="5">
        <v>20.64</v>
      </c>
      <c r="K154" s="5">
        <v>31.68</v>
      </c>
      <c r="L154" s="5">
        <v>7.2900000000000009</v>
      </c>
      <c r="M154" s="5">
        <v>0.5</v>
      </c>
      <c r="N154" s="5">
        <v>8.4500000000000011</v>
      </c>
      <c r="O154" s="5">
        <v>0.6</v>
      </c>
      <c r="P154" s="5">
        <v>0.1</v>
      </c>
      <c r="Q154" s="5">
        <v>0</v>
      </c>
      <c r="R154" s="5">
        <v>5.199999</v>
      </c>
      <c r="S154" s="5">
        <v>2.5</v>
      </c>
      <c r="T154" s="5">
        <v>0.30000000000000004</v>
      </c>
      <c r="U154" s="5">
        <v>0.1</v>
      </c>
      <c r="V154" s="5">
        <v>0.2</v>
      </c>
      <c r="W154" s="534">
        <v>0.1</v>
      </c>
    </row>
    <row r="155" spans="1:23">
      <c r="A155" s="4">
        <v>700</v>
      </c>
      <c r="B155" s="5" t="s">
        <v>148</v>
      </c>
      <c r="C155" s="5">
        <f>20*2.15</f>
        <v>43</v>
      </c>
      <c r="D155" s="5">
        <v>118.94</v>
      </c>
      <c r="E155" s="5">
        <v>48.529999999999994</v>
      </c>
      <c r="F155" s="5">
        <v>167.32</v>
      </c>
      <c r="G155" s="5">
        <v>66.150000000000006</v>
      </c>
      <c r="H155" s="5">
        <v>66.5</v>
      </c>
      <c r="I155" s="5">
        <v>124.78</v>
      </c>
      <c r="J155" s="5">
        <v>120.05999999999999</v>
      </c>
      <c r="K155" s="5">
        <v>171.04999999999998</v>
      </c>
      <c r="L155" s="5">
        <v>114.75</v>
      </c>
      <c r="M155" s="5">
        <v>105.36999999999999</v>
      </c>
      <c r="N155" s="5">
        <v>672.6</v>
      </c>
      <c r="O155" s="5">
        <v>171.35999999999999</v>
      </c>
      <c r="P155" s="5">
        <v>137.00001900000001</v>
      </c>
      <c r="Q155" s="5">
        <v>159.50000499999999</v>
      </c>
      <c r="R155" s="5">
        <v>432.8</v>
      </c>
      <c r="S155" s="5">
        <v>527.90001099999995</v>
      </c>
      <c r="T155" s="5">
        <v>869.90003000000002</v>
      </c>
      <c r="U155">
        <f>42*3.530952</f>
        <v>148.29998399999999</v>
      </c>
      <c r="V155">
        <f>34*3.355882</f>
        <v>114.099988</v>
      </c>
      <c r="W155">
        <v>71.2</v>
      </c>
    </row>
    <row r="156" spans="1:23">
      <c r="A156" s="4">
        <v>701</v>
      </c>
      <c r="B156" s="5" t="s">
        <v>149</v>
      </c>
      <c r="C156" s="5">
        <v>0</v>
      </c>
      <c r="D156" s="5">
        <v>2.6</v>
      </c>
      <c r="E156" s="5">
        <v>10.08</v>
      </c>
      <c r="F156" s="5">
        <v>0.2</v>
      </c>
      <c r="G156" s="5">
        <v>32</v>
      </c>
      <c r="H156" s="5">
        <v>0</v>
      </c>
      <c r="I156" s="5">
        <v>0</v>
      </c>
      <c r="J156" s="5">
        <v>21.42</v>
      </c>
      <c r="K156" s="5">
        <v>4.1999999999999993</v>
      </c>
      <c r="L156" s="5">
        <v>4.5999999999999996</v>
      </c>
      <c r="M156" s="5">
        <v>9.6000000000000014</v>
      </c>
      <c r="N156" s="5">
        <v>8.1199999999999992</v>
      </c>
      <c r="O156" s="5">
        <v>4.5</v>
      </c>
      <c r="P156" s="5">
        <v>0</v>
      </c>
      <c r="Q156" s="5">
        <v>0</v>
      </c>
      <c r="R156" s="5">
        <v>32.600000999999999</v>
      </c>
      <c r="S156" s="5">
        <v>20.8</v>
      </c>
      <c r="T156" s="5">
        <v>0.60000000000000009</v>
      </c>
      <c r="U156" s="5">
        <v>0</v>
      </c>
      <c r="V156">
        <f>0</f>
        <v>0</v>
      </c>
      <c r="W156" s="5">
        <v>0</v>
      </c>
    </row>
    <row r="157" spans="1:23">
      <c r="A157" s="4">
        <v>702</v>
      </c>
      <c r="B157" s="5" t="s">
        <v>150</v>
      </c>
      <c r="C157" s="5">
        <v>0</v>
      </c>
      <c r="D157" s="5">
        <v>0.1</v>
      </c>
      <c r="E157" s="5">
        <v>7.12</v>
      </c>
      <c r="F157" s="5">
        <v>73.2</v>
      </c>
      <c r="G157" s="5">
        <v>10.4</v>
      </c>
      <c r="H157" s="5">
        <v>7.5</v>
      </c>
      <c r="I157" s="5">
        <v>17.899999999999999</v>
      </c>
      <c r="J157" s="5">
        <v>12.72</v>
      </c>
      <c r="K157" s="5">
        <v>20.52</v>
      </c>
      <c r="L157" s="5">
        <v>11.52</v>
      </c>
      <c r="M157" s="5">
        <v>0</v>
      </c>
      <c r="N157" s="5">
        <v>0.3</v>
      </c>
      <c r="O157" s="5">
        <v>7.1999999999999993</v>
      </c>
      <c r="P157" s="5">
        <v>16.2</v>
      </c>
      <c r="Q157" s="5">
        <v>0</v>
      </c>
      <c r="R157" s="5">
        <v>0.2</v>
      </c>
      <c r="S157" s="5">
        <v>46.600002000000003</v>
      </c>
      <c r="T157" s="5">
        <v>4.4000000000000004</v>
      </c>
      <c r="U157" s="5">
        <v>4.5</v>
      </c>
      <c r="V157">
        <f>5*4.66</f>
        <v>23.3</v>
      </c>
      <c r="W157" s="5">
        <v>0</v>
      </c>
    </row>
    <row r="158" spans="1:23">
      <c r="A158" s="4">
        <v>703</v>
      </c>
      <c r="B158" s="5" t="s">
        <v>151</v>
      </c>
      <c r="C158" s="5">
        <v>0</v>
      </c>
      <c r="D158" s="5">
        <v>0.1</v>
      </c>
      <c r="E158" s="5">
        <v>5.92</v>
      </c>
      <c r="F158" s="5">
        <v>0.2</v>
      </c>
      <c r="G158" s="5">
        <v>0.1</v>
      </c>
      <c r="H158" s="5">
        <v>2.4</v>
      </c>
      <c r="I158" s="5">
        <v>0.2</v>
      </c>
      <c r="J158" s="5">
        <v>0</v>
      </c>
      <c r="K158" s="5">
        <v>4.1999999999999993</v>
      </c>
      <c r="L158" s="5">
        <v>6.8999999999999995</v>
      </c>
      <c r="M158" s="5">
        <v>3.1</v>
      </c>
      <c r="N158" s="5">
        <v>0.1</v>
      </c>
      <c r="O158" s="5">
        <v>2.2999999999999998</v>
      </c>
      <c r="P158" s="5">
        <v>0</v>
      </c>
      <c r="Q158" s="5">
        <v>4.4000000000000004</v>
      </c>
      <c r="R158" s="5">
        <v>76.199999999999989</v>
      </c>
      <c r="S158" s="5">
        <v>46.7</v>
      </c>
      <c r="T158" s="5">
        <v>2.2000000000000002</v>
      </c>
      <c r="U158">
        <f>4*3.975</f>
        <v>15.9</v>
      </c>
      <c r="V158">
        <f>6*2.4</f>
        <v>14.399999999999999</v>
      </c>
      <c r="W158">
        <f>5*2.62</f>
        <v>13.100000000000001</v>
      </c>
    </row>
    <row r="159" spans="1:23">
      <c r="A159" s="4">
        <v>704</v>
      </c>
      <c r="B159" s="5" t="s">
        <v>152</v>
      </c>
      <c r="C159" s="5">
        <v>0</v>
      </c>
      <c r="D159" s="5">
        <v>0</v>
      </c>
      <c r="E159" s="5">
        <v>11.299999999999999</v>
      </c>
      <c r="F159" s="5">
        <v>15.260000000000002</v>
      </c>
      <c r="G159" s="5">
        <v>32.450000000000003</v>
      </c>
      <c r="H159" s="5">
        <v>0</v>
      </c>
      <c r="I159" s="5">
        <v>0.4</v>
      </c>
      <c r="J159" s="5">
        <v>18.12</v>
      </c>
      <c r="K159" s="5">
        <v>22.5</v>
      </c>
      <c r="L159" s="5">
        <v>15.2</v>
      </c>
      <c r="M159" s="5">
        <v>24.18</v>
      </c>
      <c r="N159" s="5">
        <v>4.5999999999999996</v>
      </c>
      <c r="O159" s="5">
        <v>0.2</v>
      </c>
      <c r="P159" s="5">
        <v>7.1</v>
      </c>
      <c r="Q159" s="5">
        <v>20.100000000000001</v>
      </c>
      <c r="R159" s="5">
        <v>114.8</v>
      </c>
      <c r="S159" s="5">
        <v>33.300003000000004</v>
      </c>
      <c r="T159" s="5">
        <v>18.399999000000001</v>
      </c>
      <c r="U159">
        <f>2*2.05</f>
        <v>4.0999999999999996</v>
      </c>
      <c r="V159">
        <f>3*5.1</f>
        <v>15.299999999999999</v>
      </c>
      <c r="W159">
        <f>3*3.3</f>
        <v>9.8999999999999986</v>
      </c>
    </row>
    <row r="160" spans="1:23">
      <c r="A160" s="4">
        <v>705</v>
      </c>
      <c r="B160" s="5" t="s">
        <v>153</v>
      </c>
      <c r="C160" s="5">
        <v>0</v>
      </c>
      <c r="D160" s="5">
        <v>0.1</v>
      </c>
      <c r="E160" s="5">
        <v>12.81</v>
      </c>
      <c r="F160" s="5">
        <v>14.74</v>
      </c>
      <c r="G160" s="5">
        <v>11.12</v>
      </c>
      <c r="H160" s="5">
        <v>10.89</v>
      </c>
      <c r="I160" s="5">
        <v>12.48</v>
      </c>
      <c r="J160" s="5">
        <v>9.6</v>
      </c>
      <c r="K160" s="5">
        <v>33.4</v>
      </c>
      <c r="L160" s="5">
        <v>28.2</v>
      </c>
      <c r="M160" s="5">
        <v>12.87</v>
      </c>
      <c r="N160" s="5">
        <v>0.3</v>
      </c>
      <c r="O160" s="5">
        <v>0.2</v>
      </c>
      <c r="P160" s="5">
        <v>15.299999999999999</v>
      </c>
      <c r="Q160" s="5">
        <v>2.2000000000000002</v>
      </c>
      <c r="R160" s="5">
        <v>20.399999999999999</v>
      </c>
      <c r="S160" s="5">
        <v>15</v>
      </c>
      <c r="T160" s="5">
        <v>20.100000000000001</v>
      </c>
      <c r="U160" s="5">
        <v>0.1</v>
      </c>
      <c r="V160">
        <f>3*0.8</f>
        <v>2.4000000000000004</v>
      </c>
      <c r="W160" s="5">
        <v>0</v>
      </c>
    </row>
    <row r="161" spans="1:23">
      <c r="A161" s="4">
        <v>710</v>
      </c>
      <c r="B161" s="5" t="s">
        <v>154</v>
      </c>
      <c r="C161" s="5">
        <f>157*1.813376</f>
        <v>284.70003200000002</v>
      </c>
      <c r="D161" s="5">
        <v>316.72000000000003</v>
      </c>
      <c r="E161" s="5">
        <v>472.86</v>
      </c>
      <c r="F161" s="5">
        <v>517.28</v>
      </c>
      <c r="G161" s="5">
        <v>502.2</v>
      </c>
      <c r="H161" s="5">
        <v>568.26</v>
      </c>
      <c r="I161" s="5">
        <v>924.00000000000011</v>
      </c>
      <c r="J161" s="5">
        <v>583.54</v>
      </c>
      <c r="K161" s="5">
        <v>516.53</v>
      </c>
      <c r="L161" s="5">
        <v>593.12</v>
      </c>
      <c r="M161" s="5">
        <v>371.3</v>
      </c>
      <c r="N161" s="5">
        <v>497.64000000000004</v>
      </c>
      <c r="O161" s="5">
        <v>461.28999999999996</v>
      </c>
      <c r="P161" s="5">
        <v>311.70009599999997</v>
      </c>
      <c r="Q161" s="5">
        <v>394.70005600000002</v>
      </c>
      <c r="R161" s="5">
        <v>983.20018200000004</v>
      </c>
      <c r="S161" s="5">
        <v>851.50015199999996</v>
      </c>
      <c r="T161" s="5">
        <v>864.79987200000005</v>
      </c>
      <c r="U161">
        <f>88*1.609091</f>
        <v>141.600008</v>
      </c>
      <c r="V161">
        <f>116*1.89569</f>
        <v>219.90004000000002</v>
      </c>
      <c r="W161">
        <f>114*1.687719</f>
        <v>192.39996600000001</v>
      </c>
    </row>
    <row r="162" spans="1:23">
      <c r="A162" s="4">
        <v>712</v>
      </c>
      <c r="B162" s="5" t="s">
        <v>155</v>
      </c>
      <c r="C162" s="5">
        <v>0</v>
      </c>
      <c r="D162" s="5">
        <v>10.72</v>
      </c>
      <c r="E162" s="5">
        <v>0</v>
      </c>
      <c r="F162" s="5">
        <v>5.2</v>
      </c>
      <c r="G162" s="5">
        <v>0</v>
      </c>
      <c r="H162" s="5">
        <v>10.8</v>
      </c>
      <c r="I162" s="5">
        <v>14.700000000000001</v>
      </c>
      <c r="J162" s="5">
        <v>5.6999999999999993</v>
      </c>
      <c r="K162" s="5">
        <v>3.78</v>
      </c>
      <c r="L162" s="5">
        <v>0.2</v>
      </c>
      <c r="M162" s="5">
        <v>5.4</v>
      </c>
      <c r="N162" s="5">
        <v>2.2999999999999998</v>
      </c>
      <c r="O162" s="5">
        <v>0.1</v>
      </c>
      <c r="P162" s="5">
        <v>0.1</v>
      </c>
      <c r="Q162" s="5">
        <v>0</v>
      </c>
      <c r="R162" s="5">
        <v>2.2999999999999998</v>
      </c>
      <c r="S162" s="5">
        <v>0</v>
      </c>
      <c r="T162" s="5">
        <v>4.5</v>
      </c>
      <c r="U162" s="5">
        <v>0</v>
      </c>
      <c r="V162" s="5">
        <v>0</v>
      </c>
      <c r="W162" s="5">
        <v>0.1</v>
      </c>
    </row>
    <row r="163" spans="1:23">
      <c r="A163" s="4">
        <v>713</v>
      </c>
      <c r="B163" s="5" t="s">
        <v>156</v>
      </c>
      <c r="C163" s="5">
        <f>40*2.0725</f>
        <v>82.899999999999991</v>
      </c>
      <c r="D163" s="5">
        <v>118.44</v>
      </c>
      <c r="E163" s="5">
        <v>240.66</v>
      </c>
      <c r="F163" s="5">
        <v>142.79999999999998</v>
      </c>
      <c r="G163" s="5">
        <v>206.67000000000002</v>
      </c>
      <c r="H163" s="5">
        <v>229.12</v>
      </c>
      <c r="I163" s="5">
        <v>227.5</v>
      </c>
      <c r="J163" s="5">
        <v>165.6</v>
      </c>
      <c r="K163" s="5">
        <v>150.15</v>
      </c>
      <c r="L163" s="5">
        <v>93.6</v>
      </c>
      <c r="M163" s="5">
        <v>101</v>
      </c>
      <c r="N163" s="5">
        <v>114.24</v>
      </c>
      <c r="O163" s="5">
        <v>54.510000000000005</v>
      </c>
      <c r="P163" s="5">
        <v>50.199990000000007</v>
      </c>
      <c r="Q163" s="5">
        <v>90.900012000000004</v>
      </c>
      <c r="R163" s="5">
        <v>257.900058</v>
      </c>
      <c r="S163" s="5">
        <v>138</v>
      </c>
      <c r="T163" s="5">
        <v>130.30000200000001</v>
      </c>
      <c r="U163" s="5">
        <v>13.5</v>
      </c>
      <c r="V163">
        <v>22.8</v>
      </c>
      <c r="W163">
        <f>11*0.9727273</f>
        <v>10.700000299999999</v>
      </c>
    </row>
    <row r="164" spans="1:23">
      <c r="A164" s="4">
        <v>731</v>
      </c>
      <c r="B164" s="5" t="s">
        <v>157</v>
      </c>
      <c r="C164" s="5">
        <f>56*2.583929</f>
        <v>144.70002399999998</v>
      </c>
      <c r="D164" s="5">
        <v>166.32000000000002</v>
      </c>
      <c r="E164" s="5">
        <v>137.76</v>
      </c>
      <c r="F164" s="5">
        <v>221.83999999999997</v>
      </c>
      <c r="G164" s="5">
        <v>294</v>
      </c>
      <c r="H164" s="5">
        <v>183.54000000000002</v>
      </c>
      <c r="I164" s="5">
        <v>282.24</v>
      </c>
      <c r="J164" s="5">
        <v>227.14000000000001</v>
      </c>
      <c r="K164" s="5">
        <v>190.17999999999998</v>
      </c>
      <c r="L164" s="5">
        <v>145.91999999999999</v>
      </c>
      <c r="M164" s="5">
        <v>165.1</v>
      </c>
      <c r="N164" s="5">
        <v>172.5</v>
      </c>
      <c r="O164" s="5">
        <v>176.22</v>
      </c>
      <c r="P164" s="5">
        <v>304.00005300000004</v>
      </c>
      <c r="Q164" s="5">
        <v>151.10004000000001</v>
      </c>
      <c r="R164" s="5">
        <v>438.00004799999999</v>
      </c>
      <c r="S164" s="5">
        <v>634.26066000000003</v>
      </c>
      <c r="T164" s="5">
        <v>281.10003879999999</v>
      </c>
      <c r="U164">
        <f>25*2.872</f>
        <v>71.8</v>
      </c>
      <c r="V164">
        <f>54*4.166667</f>
        <v>225.00001800000001</v>
      </c>
      <c r="W164">
        <f>46*3.615217</f>
        <v>166.299982</v>
      </c>
    </row>
    <row r="165" spans="1:23" ht="16.5" customHeight="1">
      <c r="A165" s="4">
        <v>732</v>
      </c>
      <c r="B165" s="5" t="s">
        <v>158</v>
      </c>
      <c r="C165" s="5">
        <f>77*1.825974</f>
        <v>140.599998</v>
      </c>
      <c r="D165" s="5">
        <v>192.06</v>
      </c>
      <c r="E165" s="5">
        <v>211.11999999999998</v>
      </c>
      <c r="F165" s="5">
        <v>141.12</v>
      </c>
      <c r="G165" s="5">
        <v>180.6</v>
      </c>
      <c r="H165" s="5">
        <v>323.51</v>
      </c>
      <c r="I165" s="5">
        <v>275.64999999999998</v>
      </c>
      <c r="J165" s="5">
        <v>213.76</v>
      </c>
      <c r="K165" s="5">
        <v>154.70000000000002</v>
      </c>
      <c r="L165" s="5">
        <v>140.70000000000002</v>
      </c>
      <c r="M165" s="5">
        <v>128.31</v>
      </c>
      <c r="N165" s="5">
        <v>192.34</v>
      </c>
      <c r="O165" s="5">
        <v>241.56</v>
      </c>
      <c r="P165" s="5">
        <v>233.40002000000001</v>
      </c>
      <c r="Q165" s="5">
        <v>170.29997699999998</v>
      </c>
      <c r="R165" s="5">
        <v>306.59994</v>
      </c>
      <c r="S165" s="5">
        <v>455.19999000000001</v>
      </c>
      <c r="T165" s="5">
        <v>234.00008700000001</v>
      </c>
      <c r="U165">
        <v>95.3</v>
      </c>
      <c r="V165">
        <v>49.2</v>
      </c>
      <c r="W165">
        <v>59.1</v>
      </c>
    </row>
    <row r="166" spans="1:23">
      <c r="A166" s="4">
        <v>740</v>
      </c>
      <c r="B166" s="5" t="s">
        <v>159</v>
      </c>
      <c r="C166" s="5">
        <f>236*1.20339</f>
        <v>284.00004000000001</v>
      </c>
      <c r="D166" s="5">
        <v>259.7</v>
      </c>
      <c r="E166" s="5">
        <v>430.56</v>
      </c>
      <c r="F166" s="5">
        <v>267.03000000000003</v>
      </c>
      <c r="G166" s="5">
        <v>283.05</v>
      </c>
      <c r="H166" s="5">
        <v>396.27</v>
      </c>
      <c r="I166" s="5">
        <v>340.68</v>
      </c>
      <c r="J166" s="5">
        <v>305.76</v>
      </c>
      <c r="K166" s="5">
        <v>280.56</v>
      </c>
      <c r="L166" s="5">
        <v>290.88</v>
      </c>
      <c r="M166" s="5">
        <v>226.71</v>
      </c>
      <c r="N166" s="5">
        <v>396.05999999999995</v>
      </c>
      <c r="O166" s="5">
        <v>380.07</v>
      </c>
      <c r="P166" s="5">
        <v>244.50007499999998</v>
      </c>
      <c r="Q166" s="5">
        <v>294.600054</v>
      </c>
      <c r="R166" s="5">
        <v>557.09997799999996</v>
      </c>
      <c r="S166" s="5">
        <v>676.099962</v>
      </c>
      <c r="T166" s="5">
        <v>438.70013499999999</v>
      </c>
      <c r="U166">
        <f>63*0.9634921</f>
        <v>60.700002299999994</v>
      </c>
      <c r="V166">
        <v>47.3</v>
      </c>
      <c r="W166">
        <f>60*1.515</f>
        <v>90.899999999999991</v>
      </c>
    </row>
    <row r="167" spans="1:23">
      <c r="A167" s="4">
        <v>750</v>
      </c>
      <c r="B167" s="5" t="s">
        <v>160</v>
      </c>
      <c r="C167" s="5">
        <f>70*2.672857</f>
        <v>187.09998999999999</v>
      </c>
      <c r="D167" s="5">
        <v>203.2</v>
      </c>
      <c r="E167" s="5">
        <v>225.76000000000002</v>
      </c>
      <c r="F167" s="5">
        <v>150.74999999999997</v>
      </c>
      <c r="G167" s="5">
        <v>237.93</v>
      </c>
      <c r="H167" s="5">
        <v>239.55999999999997</v>
      </c>
      <c r="I167" s="5">
        <v>180.48</v>
      </c>
      <c r="J167" s="5">
        <v>198.9</v>
      </c>
      <c r="K167" s="5">
        <v>275.39999999999998</v>
      </c>
      <c r="L167" s="5">
        <v>481.10999999999996</v>
      </c>
      <c r="M167" s="5">
        <v>351.74999999999994</v>
      </c>
      <c r="N167" s="5">
        <v>526.32000000000005</v>
      </c>
      <c r="O167" s="5">
        <v>503.44</v>
      </c>
      <c r="P167" s="5">
        <v>235.79996400000002</v>
      </c>
      <c r="Q167" s="5">
        <v>104.90000499999999</v>
      </c>
      <c r="R167" s="5">
        <v>374.7</v>
      </c>
      <c r="S167" s="5">
        <v>276.39994800000005</v>
      </c>
      <c r="T167" s="5">
        <v>235.99996400000001</v>
      </c>
      <c r="U167">
        <f>33*2.930303</f>
        <v>96.699998999999991</v>
      </c>
      <c r="V167">
        <f>48*2.366667</f>
        <v>113.60001600000001</v>
      </c>
      <c r="W167">
        <f>28*1.832143</f>
        <v>51.300004000000001</v>
      </c>
    </row>
    <row r="168" spans="1:23">
      <c r="A168" s="4">
        <v>760</v>
      </c>
      <c r="B168" s="5" t="s">
        <v>161</v>
      </c>
      <c r="C168" s="5">
        <v>0</v>
      </c>
      <c r="D168" s="5">
        <v>0.1</v>
      </c>
      <c r="E168" s="5">
        <v>4</v>
      </c>
      <c r="F168" s="5">
        <v>2.2000000000000002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31.6</v>
      </c>
      <c r="Q168" s="5">
        <v>10</v>
      </c>
      <c r="R168" s="5">
        <v>4.4000000000000004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</row>
    <row r="169" spans="1:23">
      <c r="A169" s="4">
        <v>770</v>
      </c>
      <c r="B169" s="5" t="s">
        <v>162</v>
      </c>
      <c r="C169" s="5">
        <f>62*2.182258</f>
        <v>135.29999599999999</v>
      </c>
      <c r="D169" s="5">
        <v>202.95999999999998</v>
      </c>
      <c r="E169" s="5">
        <v>276.8</v>
      </c>
      <c r="F169" s="5">
        <v>244.44</v>
      </c>
      <c r="G169" s="5">
        <v>209.16</v>
      </c>
      <c r="H169" s="5">
        <v>196.23</v>
      </c>
      <c r="I169" s="5">
        <v>157.29</v>
      </c>
      <c r="J169" s="5">
        <v>150.29999999999998</v>
      </c>
      <c r="K169" s="5">
        <v>327.66000000000003</v>
      </c>
      <c r="L169" s="5">
        <v>388.36</v>
      </c>
      <c r="M169" s="5">
        <v>242.06000000000003</v>
      </c>
      <c r="N169" s="5">
        <v>559.30000000000007</v>
      </c>
      <c r="O169" s="5">
        <v>484.87999999999994</v>
      </c>
      <c r="P169" s="5">
        <v>250.19999899999999</v>
      </c>
      <c r="Q169" s="5">
        <v>239.10003799999998</v>
      </c>
      <c r="R169" s="5">
        <v>396.9</v>
      </c>
      <c r="S169" s="5">
        <v>655.40002500000003</v>
      </c>
      <c r="T169" s="5">
        <v>380.40004800000003</v>
      </c>
      <c r="U169">
        <f>45*4.72</f>
        <v>212.39999999999998</v>
      </c>
      <c r="V169">
        <f>62*6.108065</f>
        <v>378.70002999999997</v>
      </c>
      <c r="W169">
        <f>27*4.82963</f>
        <v>130.40001000000001</v>
      </c>
    </row>
    <row r="170" spans="1:23">
      <c r="A170" s="4">
        <v>771</v>
      </c>
      <c r="B170" s="5" t="s">
        <v>163</v>
      </c>
      <c r="C170" s="5">
        <f>9*2.4</f>
        <v>21.599999999999998</v>
      </c>
      <c r="D170" s="5">
        <v>70.850000000000009</v>
      </c>
      <c r="E170" s="5">
        <v>66.11999999999999</v>
      </c>
      <c r="F170" s="5">
        <v>74.400000000000006</v>
      </c>
      <c r="G170" s="5">
        <v>72</v>
      </c>
      <c r="H170" s="5">
        <v>57.26</v>
      </c>
      <c r="I170" s="5">
        <v>10.799999999999999</v>
      </c>
      <c r="J170" s="5">
        <v>46.4</v>
      </c>
      <c r="K170" s="5">
        <v>20.240000000000002</v>
      </c>
      <c r="L170" s="5">
        <v>33.800000000000004</v>
      </c>
      <c r="M170" s="5">
        <v>39.06</v>
      </c>
      <c r="N170" s="5">
        <v>60.260000000000005</v>
      </c>
      <c r="O170" s="5">
        <v>37.619999999999997</v>
      </c>
      <c r="P170" s="5">
        <v>33.099996999999995</v>
      </c>
      <c r="Q170" s="5">
        <v>29</v>
      </c>
      <c r="R170" s="5">
        <v>84.099987999999996</v>
      </c>
      <c r="S170" s="5">
        <v>51.899996999999999</v>
      </c>
      <c r="T170" s="5">
        <v>10.000001999999999</v>
      </c>
      <c r="U170">
        <f>5*3.98</f>
        <v>19.899999999999999</v>
      </c>
      <c r="V170">
        <f>6*3.15</f>
        <v>18.899999999999999</v>
      </c>
      <c r="W170" s="5">
        <v>4.4000000000000004</v>
      </c>
    </row>
    <row r="171" spans="1:23">
      <c r="A171" s="4">
        <v>775</v>
      </c>
      <c r="B171" s="5" t="s">
        <v>164</v>
      </c>
      <c r="C171" s="5">
        <f>15*5.326667</f>
        <v>79.900004999999993</v>
      </c>
      <c r="D171" s="5">
        <v>58.679999999999993</v>
      </c>
      <c r="E171" s="5">
        <v>150.63999999999999</v>
      </c>
      <c r="F171" s="5">
        <v>86.1</v>
      </c>
      <c r="G171" s="5">
        <v>58.370000000000005</v>
      </c>
      <c r="H171" s="5">
        <v>97.5</v>
      </c>
      <c r="I171" s="5">
        <v>59.1</v>
      </c>
      <c r="J171" s="5">
        <v>62</v>
      </c>
      <c r="K171" s="5">
        <v>69.36</v>
      </c>
      <c r="L171" s="5">
        <v>55</v>
      </c>
      <c r="M171" s="5">
        <v>80.72999999999999</v>
      </c>
      <c r="N171" s="5">
        <v>51.48</v>
      </c>
      <c r="O171" s="5">
        <v>44.459999999999994</v>
      </c>
      <c r="P171" s="5">
        <v>2.8000000000000003</v>
      </c>
      <c r="Q171" s="5">
        <v>12.400003</v>
      </c>
      <c r="R171" s="5">
        <v>44.500005000000002</v>
      </c>
      <c r="S171" s="5">
        <v>29.5</v>
      </c>
      <c r="T171" s="5">
        <v>74.399990000000003</v>
      </c>
      <c r="U171">
        <f>8*2.9</f>
        <v>23.2</v>
      </c>
      <c r="V171">
        <f>5*4.8</f>
        <v>24</v>
      </c>
      <c r="W171" s="5">
        <v>0</v>
      </c>
    </row>
    <row r="172" spans="1:23">
      <c r="A172" s="4">
        <v>780</v>
      </c>
      <c r="B172" s="5" t="s">
        <v>165</v>
      </c>
      <c r="C172" s="5">
        <f>16*2.95</f>
        <v>47.2</v>
      </c>
      <c r="D172" s="5">
        <v>71.28</v>
      </c>
      <c r="E172" s="5">
        <v>27.84</v>
      </c>
      <c r="F172" s="5">
        <v>11.7</v>
      </c>
      <c r="G172" s="5">
        <v>6.4</v>
      </c>
      <c r="H172" s="5">
        <v>34.169999999999995</v>
      </c>
      <c r="I172" s="5">
        <v>55.2</v>
      </c>
      <c r="J172" s="5">
        <v>48.45</v>
      </c>
      <c r="K172" s="5">
        <v>31.200000000000003</v>
      </c>
      <c r="L172" s="5">
        <v>27</v>
      </c>
      <c r="M172" s="5">
        <v>22.95</v>
      </c>
      <c r="N172" s="5">
        <v>67</v>
      </c>
      <c r="O172" s="5">
        <v>29.52</v>
      </c>
      <c r="P172" s="5">
        <v>60.3</v>
      </c>
      <c r="Q172" s="5">
        <v>22.5</v>
      </c>
      <c r="R172" s="5">
        <v>78.099999999999994</v>
      </c>
      <c r="S172" s="5">
        <v>138.700008</v>
      </c>
      <c r="T172" s="5">
        <v>62.499995999999996</v>
      </c>
      <c r="U172">
        <f>4*5.475</f>
        <v>21.9</v>
      </c>
      <c r="V172">
        <f>6*5.05</f>
        <v>30.299999999999997</v>
      </c>
      <c r="W172" s="5">
        <v>0</v>
      </c>
    </row>
    <row r="173" spans="1:23">
      <c r="A173" s="4">
        <v>781</v>
      </c>
      <c r="B173" s="5" t="s">
        <v>166</v>
      </c>
      <c r="C173" s="5">
        <v>4</v>
      </c>
      <c r="D173" s="5">
        <v>13.799999999999999</v>
      </c>
      <c r="E173" s="5">
        <v>0.1</v>
      </c>
      <c r="F173" s="5">
        <v>0</v>
      </c>
      <c r="G173" s="5">
        <v>0</v>
      </c>
      <c r="H173" s="5">
        <v>4.4000000000000004</v>
      </c>
      <c r="I173" s="5">
        <v>0</v>
      </c>
      <c r="J173" s="5">
        <v>0</v>
      </c>
      <c r="K173" s="5">
        <v>2.4000000000000004</v>
      </c>
      <c r="L173" s="5">
        <v>8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2.2000000000000002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</row>
    <row r="174" spans="1:23">
      <c r="A174" s="4">
        <v>790</v>
      </c>
      <c r="B174" s="5" t="s">
        <v>167</v>
      </c>
      <c r="C174" s="5">
        <v>5.2</v>
      </c>
      <c r="D174" s="5">
        <v>8.52</v>
      </c>
      <c r="E174" s="5">
        <v>12.4</v>
      </c>
      <c r="F174" s="5">
        <v>4.5</v>
      </c>
      <c r="G174" s="5">
        <v>16.12</v>
      </c>
      <c r="H174" s="5">
        <v>5.4</v>
      </c>
      <c r="I174" s="5">
        <v>9.2799999999999994</v>
      </c>
      <c r="J174" s="5">
        <v>14.5</v>
      </c>
      <c r="K174" s="5">
        <v>18.04</v>
      </c>
      <c r="L174" s="5">
        <v>12.12</v>
      </c>
      <c r="M174" s="5">
        <v>8.24</v>
      </c>
      <c r="N174" s="5">
        <v>24.660000000000004</v>
      </c>
      <c r="O174" s="5">
        <v>6.4</v>
      </c>
      <c r="P174" s="5">
        <v>15.4</v>
      </c>
      <c r="Q174" s="5">
        <v>2.2000000000000002</v>
      </c>
      <c r="R174" s="5">
        <v>30.9</v>
      </c>
      <c r="S174" s="5">
        <v>40.700000000000003</v>
      </c>
      <c r="T174" s="5">
        <v>27.7</v>
      </c>
      <c r="U174">
        <f>13*5.384615</f>
        <v>69.999994999999998</v>
      </c>
      <c r="V174">
        <f>5*3.26</f>
        <v>16.299999999999997</v>
      </c>
      <c r="W174" s="5">
        <v>0</v>
      </c>
    </row>
    <row r="175" spans="1:23">
      <c r="A175" s="4">
        <v>800</v>
      </c>
      <c r="B175" s="5" t="s">
        <v>168</v>
      </c>
      <c r="C175" s="5">
        <f>38*1.734211</f>
        <v>65.900018000000003</v>
      </c>
      <c r="D175" s="5">
        <v>141.97999999999999</v>
      </c>
      <c r="E175" s="5">
        <v>110.19999999999999</v>
      </c>
      <c r="F175" s="5">
        <v>127.49999999999999</v>
      </c>
      <c r="G175" s="5">
        <v>154</v>
      </c>
      <c r="H175" s="5">
        <v>184.23</v>
      </c>
      <c r="I175" s="5">
        <v>108.8</v>
      </c>
      <c r="J175" s="5">
        <v>128.52000000000001</v>
      </c>
      <c r="K175" s="5">
        <v>100.1</v>
      </c>
      <c r="L175" s="5">
        <v>135</v>
      </c>
      <c r="M175" s="5">
        <v>114.80000000000001</v>
      </c>
      <c r="N175" s="5">
        <v>103.95</v>
      </c>
      <c r="O175" s="5">
        <v>87.63</v>
      </c>
      <c r="P175" s="5">
        <v>101.4</v>
      </c>
      <c r="Q175" s="5">
        <v>88.999988000000002</v>
      </c>
      <c r="R175" s="5">
        <v>140.89998</v>
      </c>
      <c r="S175" s="5">
        <v>102.89999999999999</v>
      </c>
      <c r="T175" s="5">
        <v>40</v>
      </c>
      <c r="U175">
        <f>20*2.445</f>
        <v>48.9</v>
      </c>
      <c r="V175">
        <f>8*0.7</f>
        <v>5.6</v>
      </c>
      <c r="W175">
        <f>5*1.4</f>
        <v>7</v>
      </c>
    </row>
    <row r="176" spans="1:23">
      <c r="A176" s="4">
        <v>811</v>
      </c>
      <c r="B176" s="5" t="s">
        <v>169</v>
      </c>
      <c r="C176" s="5">
        <f>23*2.2</f>
        <v>50.6</v>
      </c>
      <c r="D176" s="5">
        <v>48.62</v>
      </c>
      <c r="E176" s="5">
        <v>94.5</v>
      </c>
      <c r="F176" s="5">
        <v>181.67000000000002</v>
      </c>
      <c r="G176" s="5">
        <v>151.79999999999998</v>
      </c>
      <c r="H176" s="5">
        <v>73.5</v>
      </c>
      <c r="I176" s="5">
        <v>39.799999999999997</v>
      </c>
      <c r="J176" s="5">
        <v>128.94</v>
      </c>
      <c r="K176" s="5">
        <v>70.11</v>
      </c>
      <c r="L176" s="5">
        <v>36.36</v>
      </c>
      <c r="M176" s="5">
        <v>23.580000000000002</v>
      </c>
      <c r="N176" s="5">
        <v>24.4</v>
      </c>
      <c r="O176" s="5">
        <v>9.8699999999999992</v>
      </c>
      <c r="P176" s="5">
        <v>30.400002000000001</v>
      </c>
      <c r="Q176" s="5">
        <v>0</v>
      </c>
      <c r="R176" s="5">
        <v>14.600001000000001</v>
      </c>
      <c r="S176" s="5">
        <v>51.999995999999996</v>
      </c>
      <c r="T176" s="5">
        <v>15.999997</v>
      </c>
      <c r="U176">
        <f>13*3.4</f>
        <v>44.199999999999996</v>
      </c>
      <c r="V176">
        <f>4*4.175</f>
        <v>16.7</v>
      </c>
      <c r="W176" s="5">
        <v>2.2000000000000002</v>
      </c>
    </row>
    <row r="177" spans="1:23">
      <c r="A177" s="4">
        <v>812</v>
      </c>
      <c r="B177" s="5" t="s">
        <v>170</v>
      </c>
      <c r="C177" s="5">
        <v>0.3</v>
      </c>
      <c r="D177" s="5">
        <v>0.3</v>
      </c>
      <c r="E177" s="5">
        <v>0.3</v>
      </c>
      <c r="F177" s="5">
        <v>9.4</v>
      </c>
      <c r="G177" s="5">
        <v>2.52</v>
      </c>
      <c r="H177" s="5">
        <v>5</v>
      </c>
      <c r="I177" s="5">
        <v>0.3</v>
      </c>
      <c r="J177" s="5">
        <v>0.3</v>
      </c>
      <c r="K177" s="5">
        <v>0.2</v>
      </c>
      <c r="L177" s="5">
        <v>0.7</v>
      </c>
      <c r="M177" s="5">
        <v>10.199999999999999</v>
      </c>
      <c r="N177" s="5">
        <v>3.3600000000000003</v>
      </c>
      <c r="O177" s="5">
        <v>0.3</v>
      </c>
      <c r="P177" s="5">
        <v>0.5</v>
      </c>
      <c r="Q177" s="5">
        <v>0.1</v>
      </c>
      <c r="R177" s="5">
        <v>29.400002999999998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</row>
    <row r="178" spans="1:23">
      <c r="A178" s="4">
        <v>816</v>
      </c>
      <c r="B178" s="5" t="s">
        <v>171</v>
      </c>
      <c r="C178" s="5">
        <f>38*2.063158</f>
        <v>78.400003999999996</v>
      </c>
      <c r="D178" s="5">
        <v>84.399999999999991</v>
      </c>
      <c r="E178" s="5">
        <v>81.339999999999989</v>
      </c>
      <c r="F178" s="5">
        <v>99.45</v>
      </c>
      <c r="G178" s="5">
        <v>87.89</v>
      </c>
      <c r="H178" s="5">
        <v>100.19</v>
      </c>
      <c r="I178" s="5">
        <v>100</v>
      </c>
      <c r="J178" s="5">
        <v>44.849999999999994</v>
      </c>
      <c r="K178" s="5">
        <v>33.81</v>
      </c>
      <c r="L178" s="5">
        <v>29.580000000000002</v>
      </c>
      <c r="M178" s="5">
        <v>33.32</v>
      </c>
      <c r="N178" s="5">
        <v>83.3</v>
      </c>
      <c r="O178" s="5">
        <v>45.98</v>
      </c>
      <c r="P178" s="5">
        <v>30.299994999999999</v>
      </c>
      <c r="Q178" s="5">
        <v>49.099995</v>
      </c>
      <c r="R178" s="5">
        <v>48.500004000000004</v>
      </c>
      <c r="S178" s="5">
        <v>53.200008000000004</v>
      </c>
      <c r="T178" s="5">
        <v>28.7</v>
      </c>
      <c r="U178">
        <f>2*1.15</f>
        <v>2.2999999999999998</v>
      </c>
      <c r="V178">
        <f>5*1.96</f>
        <v>9.8000000000000007</v>
      </c>
      <c r="W178" s="5">
        <v>2.2000000000000002</v>
      </c>
    </row>
    <row r="179" spans="1:23">
      <c r="A179" s="4">
        <v>820</v>
      </c>
      <c r="B179" s="5" t="s">
        <v>172</v>
      </c>
      <c r="C179" s="5">
        <f>26*2.980769</f>
        <v>77.499994000000001</v>
      </c>
      <c r="D179" s="5">
        <v>156.35</v>
      </c>
      <c r="E179" s="5">
        <v>110.00999999999999</v>
      </c>
      <c r="F179" s="5">
        <v>123.08</v>
      </c>
      <c r="G179" s="5">
        <v>94.24</v>
      </c>
      <c r="H179" s="5">
        <v>81.09</v>
      </c>
      <c r="I179" s="5">
        <v>92.5</v>
      </c>
      <c r="J179" s="5">
        <v>100.44</v>
      </c>
      <c r="K179" s="5">
        <v>168.91</v>
      </c>
      <c r="L179" s="5">
        <v>113.9</v>
      </c>
      <c r="M179" s="5">
        <v>90.17</v>
      </c>
      <c r="N179" s="5">
        <v>154.44</v>
      </c>
      <c r="O179" s="5">
        <v>108.16</v>
      </c>
      <c r="P179" s="5">
        <v>42.9</v>
      </c>
      <c r="Q179" s="5">
        <v>53.399996999999999</v>
      </c>
      <c r="R179" s="5">
        <v>198.900036</v>
      </c>
      <c r="S179" s="5">
        <v>113.99999400000002</v>
      </c>
      <c r="T179" s="5">
        <v>175.30000999999999</v>
      </c>
      <c r="U179">
        <f>11*2.927273</f>
        <v>32.200003000000002</v>
      </c>
      <c r="V179" s="5">
        <v>4.2</v>
      </c>
      <c r="W179" s="5">
        <v>9.8000000000000007</v>
      </c>
    </row>
    <row r="180" spans="1:23">
      <c r="A180" s="4">
        <v>830</v>
      </c>
      <c r="B180" s="5" t="s">
        <v>173</v>
      </c>
      <c r="C180" s="5">
        <f>40*0.9075</f>
        <v>36.299999999999997</v>
      </c>
      <c r="D180" s="5">
        <v>48.4</v>
      </c>
      <c r="E180" s="5">
        <v>49.53</v>
      </c>
      <c r="F180" s="5">
        <v>64.5</v>
      </c>
      <c r="G180" s="5">
        <v>91.2</v>
      </c>
      <c r="H180" s="5">
        <v>106.7</v>
      </c>
      <c r="I180" s="5">
        <v>58.199999999999996</v>
      </c>
      <c r="J180" s="5">
        <v>63.48</v>
      </c>
      <c r="K180" s="5">
        <v>62.92</v>
      </c>
      <c r="L180" s="5">
        <v>53.35</v>
      </c>
      <c r="M180" s="5">
        <v>35.200000000000003</v>
      </c>
      <c r="N180" s="5">
        <v>89.88</v>
      </c>
      <c r="O180" s="5">
        <v>60.040000000000006</v>
      </c>
      <c r="P180" s="5">
        <v>51.399985000000001</v>
      </c>
      <c r="Q180" s="5">
        <v>17.100000000000001</v>
      </c>
      <c r="R180" s="5">
        <v>128.19999999999999</v>
      </c>
      <c r="S180" s="5">
        <v>78.600001999999989</v>
      </c>
      <c r="T180" s="5">
        <v>35.900010000000002</v>
      </c>
      <c r="U180">
        <f>23*0.9347826</f>
        <v>21.499999800000001</v>
      </c>
      <c r="V180" s="5">
        <v>0.6</v>
      </c>
      <c r="W180" s="5">
        <v>4.5</v>
      </c>
    </row>
    <row r="181" spans="1:23">
      <c r="A181" s="4">
        <v>835</v>
      </c>
      <c r="B181" s="5" t="s">
        <v>174</v>
      </c>
      <c r="C181" s="5">
        <v>4.5</v>
      </c>
      <c r="D181" s="5">
        <v>4</v>
      </c>
      <c r="E181" s="5">
        <v>0.1</v>
      </c>
      <c r="F181" s="5">
        <v>0</v>
      </c>
      <c r="G181" s="5">
        <v>0.1</v>
      </c>
      <c r="H181" s="5">
        <v>0.1</v>
      </c>
      <c r="I181" s="5">
        <v>0</v>
      </c>
      <c r="J181" s="5">
        <v>0.1</v>
      </c>
      <c r="K181" s="5">
        <v>2.2000000000000002</v>
      </c>
      <c r="L181" s="5">
        <v>0</v>
      </c>
      <c r="M181" s="5">
        <v>0</v>
      </c>
      <c r="N181" s="5">
        <v>0</v>
      </c>
      <c r="O181" s="5">
        <v>0</v>
      </c>
      <c r="P181" s="5">
        <v>0.1</v>
      </c>
      <c r="Q181" s="5">
        <v>7.6</v>
      </c>
      <c r="R181" s="5">
        <v>0.1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</row>
    <row r="182" spans="1:23">
      <c r="A182" s="4">
        <v>840</v>
      </c>
      <c r="B182" s="5" t="s">
        <v>175</v>
      </c>
      <c r="C182" s="5">
        <f>53*2.115094</f>
        <v>112.099982</v>
      </c>
      <c r="D182" s="5">
        <v>142.19</v>
      </c>
      <c r="E182" s="5">
        <v>131.07</v>
      </c>
      <c r="F182" s="5">
        <v>62.400000000000006</v>
      </c>
      <c r="G182" s="5">
        <v>155.49</v>
      </c>
      <c r="H182" s="5">
        <v>177.67</v>
      </c>
      <c r="I182" s="5">
        <v>202.73</v>
      </c>
      <c r="J182" s="5">
        <v>93.22</v>
      </c>
      <c r="K182" s="5">
        <v>80.64</v>
      </c>
      <c r="L182" s="5">
        <v>112.18</v>
      </c>
      <c r="M182" s="5">
        <v>113.60000000000001</v>
      </c>
      <c r="N182" s="5">
        <v>72.239999999999995</v>
      </c>
      <c r="O182" s="5">
        <v>123.2</v>
      </c>
      <c r="P182" s="5">
        <v>76.099999999999994</v>
      </c>
      <c r="Q182" s="5">
        <v>57.699999999999996</v>
      </c>
      <c r="R182" s="5">
        <v>135.300015</v>
      </c>
      <c r="S182" s="5">
        <v>98.600003999999998</v>
      </c>
      <c r="T182" s="5">
        <v>44.800001999999999</v>
      </c>
      <c r="U182">
        <f>11*1.709091</f>
        <v>18.800000999999998</v>
      </c>
      <c r="V182">
        <f>2*1.15</f>
        <v>2.2999999999999998</v>
      </c>
      <c r="W182" s="5">
        <v>9.9</v>
      </c>
    </row>
    <row r="183" spans="1:23">
      <c r="A183" s="4">
        <v>850</v>
      </c>
      <c r="B183" s="5" t="s">
        <v>176</v>
      </c>
      <c r="C183" s="5">
        <f>24*1.6875</f>
        <v>40.5</v>
      </c>
      <c r="D183" s="5">
        <v>112.99999999999999</v>
      </c>
      <c r="E183" s="5">
        <v>59.04</v>
      </c>
      <c r="F183" s="5">
        <v>92</v>
      </c>
      <c r="G183" s="5">
        <v>189.8</v>
      </c>
      <c r="H183" s="5">
        <v>214.02</v>
      </c>
      <c r="I183" s="5">
        <v>146.32</v>
      </c>
      <c r="J183" s="5">
        <v>73.8</v>
      </c>
      <c r="K183" s="5">
        <v>121.03</v>
      </c>
      <c r="L183" s="5">
        <v>113.42</v>
      </c>
      <c r="M183" s="5">
        <v>40.119999999999997</v>
      </c>
      <c r="N183" s="5">
        <v>166.10999999999999</v>
      </c>
      <c r="O183" s="5">
        <v>129.72</v>
      </c>
      <c r="P183" s="5">
        <v>71.5</v>
      </c>
      <c r="Q183" s="5">
        <v>52.700010000000006</v>
      </c>
      <c r="R183" s="5">
        <v>366.79996199999999</v>
      </c>
      <c r="S183" s="5">
        <v>216.19997000000001</v>
      </c>
      <c r="T183" s="5">
        <v>83.2</v>
      </c>
      <c r="U183">
        <v>58.2</v>
      </c>
      <c r="V183">
        <f>4*2.55</f>
        <v>10.199999999999999</v>
      </c>
      <c r="W183">
        <f>9*3.033333</f>
        <v>27.299996999999998</v>
      </c>
    </row>
    <row r="184" spans="1:23">
      <c r="A184" s="4">
        <v>900</v>
      </c>
      <c r="B184" s="5" t="s">
        <v>177</v>
      </c>
      <c r="C184" s="5">
        <f>122*0.8934426</f>
        <v>108.9999972</v>
      </c>
      <c r="D184" s="5">
        <v>108</v>
      </c>
      <c r="E184" s="5">
        <v>149.1</v>
      </c>
      <c r="F184" s="5">
        <v>258.72000000000003</v>
      </c>
      <c r="G184" s="5">
        <v>159.34</v>
      </c>
      <c r="H184" s="5">
        <v>367.12</v>
      </c>
      <c r="I184" s="5">
        <v>204.6</v>
      </c>
      <c r="J184" s="5">
        <v>242.35999999999999</v>
      </c>
      <c r="K184" s="5">
        <v>243.20000000000002</v>
      </c>
      <c r="L184" s="5">
        <v>354.04</v>
      </c>
      <c r="M184" s="5">
        <v>175.68</v>
      </c>
      <c r="N184" s="5">
        <v>286.64999999999998</v>
      </c>
      <c r="O184" s="5">
        <v>161.25</v>
      </c>
      <c r="P184" s="5">
        <v>313.59997500000003</v>
      </c>
      <c r="Q184" s="5">
        <v>186.900012</v>
      </c>
      <c r="R184" s="5">
        <v>331.39993200000004</v>
      </c>
      <c r="S184" s="5">
        <v>382.40002399999997</v>
      </c>
      <c r="T184" s="5">
        <v>304.699926</v>
      </c>
      <c r="U184">
        <v>68.8</v>
      </c>
      <c r="V184">
        <v>62</v>
      </c>
      <c r="W184">
        <f>40*0.9275</f>
        <v>37.1</v>
      </c>
    </row>
    <row r="185" spans="1:23">
      <c r="A185" s="4">
        <v>910</v>
      </c>
      <c r="B185" s="5" t="s">
        <v>178</v>
      </c>
      <c r="C185" s="5">
        <v>11.2</v>
      </c>
      <c r="D185" s="5">
        <v>9.51</v>
      </c>
      <c r="E185" s="5">
        <v>0.1</v>
      </c>
      <c r="F185" s="5">
        <v>7.5</v>
      </c>
      <c r="G185" s="5">
        <v>2.4</v>
      </c>
      <c r="H185" s="5">
        <v>9.17</v>
      </c>
      <c r="I185" s="5">
        <v>4.34</v>
      </c>
      <c r="J185" s="5">
        <v>8.01</v>
      </c>
      <c r="K185" s="5">
        <v>14.8</v>
      </c>
      <c r="L185" s="5">
        <v>21.9</v>
      </c>
      <c r="M185" s="5">
        <v>0.7</v>
      </c>
      <c r="N185" s="5">
        <v>5.0999999999999996</v>
      </c>
      <c r="O185" s="5">
        <v>2.52</v>
      </c>
      <c r="P185" s="5">
        <v>2.2000000000000002</v>
      </c>
      <c r="Q185" s="5">
        <v>0</v>
      </c>
      <c r="R185" s="5">
        <v>4.5</v>
      </c>
      <c r="S185" s="5">
        <v>6.8</v>
      </c>
      <c r="T185" s="5">
        <v>0</v>
      </c>
      <c r="U185" s="5">
        <v>0</v>
      </c>
      <c r="V185">
        <f>2*4.95</f>
        <v>9.9</v>
      </c>
      <c r="W185">
        <f>2*1.15</f>
        <v>2.2999999999999998</v>
      </c>
    </row>
    <row r="186" spans="1:23">
      <c r="A186" s="4">
        <v>920</v>
      </c>
      <c r="B186" s="5" t="s">
        <v>179</v>
      </c>
      <c r="C186" s="5">
        <f>44*0.7068182</f>
        <v>31.100000799999997</v>
      </c>
      <c r="D186" s="5">
        <v>50.4</v>
      </c>
      <c r="E186" s="5">
        <v>21.619999999999997</v>
      </c>
      <c r="F186" s="5">
        <v>35.64</v>
      </c>
      <c r="G186" s="5">
        <v>51.000000000000007</v>
      </c>
      <c r="H186" s="5">
        <v>138.69999999999999</v>
      </c>
      <c r="I186" s="5">
        <v>74.52000000000001</v>
      </c>
      <c r="J186" s="5">
        <v>39</v>
      </c>
      <c r="K186" s="5">
        <v>26.68</v>
      </c>
      <c r="L186" s="5">
        <v>56.32</v>
      </c>
      <c r="M186" s="5">
        <v>24.7</v>
      </c>
      <c r="N186" s="5">
        <v>90.85</v>
      </c>
      <c r="O186" s="5">
        <v>53.550000000000004</v>
      </c>
      <c r="P186" s="5">
        <v>57.799994000000005</v>
      </c>
      <c r="Q186" s="5">
        <v>26.900004000000003</v>
      </c>
      <c r="R186" s="5">
        <v>11.099997</v>
      </c>
      <c r="S186" s="5">
        <v>59.100008000000003</v>
      </c>
      <c r="T186" s="5">
        <v>14.1</v>
      </c>
      <c r="U186" s="5">
        <v>1</v>
      </c>
      <c r="V186">
        <f>3*6.2</f>
        <v>18.600000000000001</v>
      </c>
      <c r="W186">
        <f>4*0.625</f>
        <v>2.5</v>
      </c>
    </row>
    <row r="187" spans="1:23">
      <c r="A187" s="4">
        <v>935</v>
      </c>
      <c r="B187" s="5" t="s">
        <v>180</v>
      </c>
      <c r="C187" s="5">
        <v>0</v>
      </c>
      <c r="D187" s="5">
        <v>0</v>
      </c>
      <c r="E187" s="5">
        <v>2.2000000000000002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0.2</v>
      </c>
      <c r="N187" s="5">
        <v>0</v>
      </c>
      <c r="O187" s="5">
        <v>2.2000000000000002</v>
      </c>
      <c r="P187" s="5">
        <v>0</v>
      </c>
      <c r="Q187" s="5">
        <v>3.9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</row>
    <row r="188" spans="1:23">
      <c r="A188" s="4">
        <v>940</v>
      </c>
      <c r="B188" s="5" t="s">
        <v>181</v>
      </c>
      <c r="C188" s="5">
        <v>0</v>
      </c>
      <c r="D188" s="5">
        <v>0</v>
      </c>
      <c r="E188" s="5">
        <v>13.600000000000001</v>
      </c>
      <c r="F188" s="5">
        <v>0</v>
      </c>
      <c r="G188" s="5">
        <v>0.1</v>
      </c>
      <c r="H188" s="5">
        <v>0</v>
      </c>
      <c r="I188" s="5">
        <v>3</v>
      </c>
      <c r="J188" s="5">
        <v>0</v>
      </c>
      <c r="K188" s="5">
        <v>0</v>
      </c>
      <c r="L188" s="5">
        <v>0</v>
      </c>
      <c r="M188" s="5">
        <v>0.1</v>
      </c>
      <c r="N188" s="5">
        <v>0</v>
      </c>
      <c r="O188" s="5">
        <v>0</v>
      </c>
      <c r="P188" s="5">
        <v>0</v>
      </c>
      <c r="Q188" s="5">
        <v>0</v>
      </c>
      <c r="R188" s="5">
        <v>0.1</v>
      </c>
      <c r="S188" s="5">
        <v>25.3</v>
      </c>
      <c r="T188" s="5">
        <v>0.1</v>
      </c>
      <c r="U188" s="5">
        <v>0</v>
      </c>
      <c r="V188" s="5">
        <v>0</v>
      </c>
      <c r="W188" s="5">
        <v>0</v>
      </c>
    </row>
    <row r="189" spans="1:23">
      <c r="A189" s="4">
        <v>946</v>
      </c>
      <c r="B189" s="5" t="s">
        <v>182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</row>
    <row r="190" spans="1:23">
      <c r="A190" s="4">
        <v>947</v>
      </c>
      <c r="B190" s="5" t="s">
        <v>183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4.9000000000000004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</row>
    <row r="191" spans="1:23">
      <c r="A191" s="4">
        <v>950</v>
      </c>
      <c r="B191" s="5" t="s">
        <v>184</v>
      </c>
      <c r="C191" s="5">
        <v>25.1</v>
      </c>
      <c r="D191" s="5">
        <v>0.1</v>
      </c>
      <c r="E191" s="5">
        <v>4.0999999999999996</v>
      </c>
      <c r="F191" s="5">
        <v>0</v>
      </c>
      <c r="G191" s="5">
        <v>0</v>
      </c>
      <c r="H191" s="5">
        <v>14.48</v>
      </c>
      <c r="I191" s="5">
        <v>2.2000000000000002</v>
      </c>
      <c r="J191" s="5">
        <v>7</v>
      </c>
      <c r="K191" s="5">
        <v>0.1</v>
      </c>
      <c r="L191" s="5">
        <v>2.2000000000000002</v>
      </c>
      <c r="M191" s="5">
        <v>18.299999999999997</v>
      </c>
      <c r="N191" s="5">
        <v>0.4</v>
      </c>
      <c r="O191" s="5">
        <v>0.1</v>
      </c>
      <c r="P191" s="5">
        <v>0.1</v>
      </c>
      <c r="Q191" s="5">
        <v>0</v>
      </c>
      <c r="R191" s="5">
        <v>4.9000000000000004</v>
      </c>
      <c r="S191" s="5">
        <v>0.30000000000000004</v>
      </c>
      <c r="T191" s="5">
        <v>14.2</v>
      </c>
      <c r="U191" s="5">
        <v>0</v>
      </c>
      <c r="V191" s="5">
        <v>10</v>
      </c>
      <c r="W191" s="5">
        <v>0</v>
      </c>
    </row>
    <row r="192" spans="1:23">
      <c r="A192" s="4">
        <v>955</v>
      </c>
      <c r="B192" s="5" t="s">
        <v>185</v>
      </c>
      <c r="C192" s="5">
        <v>5</v>
      </c>
      <c r="D192" s="5">
        <v>0</v>
      </c>
      <c r="E192" s="5">
        <v>0</v>
      </c>
      <c r="F192" s="5">
        <v>0.1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</row>
    <row r="193" spans="1:23">
      <c r="A193" s="4">
        <v>970</v>
      </c>
      <c r="B193" s="5" t="s">
        <v>186</v>
      </c>
      <c r="C193" s="5">
        <v>0</v>
      </c>
      <c r="D193" s="5">
        <v>2.4</v>
      </c>
      <c r="E193" s="5">
        <v>0</v>
      </c>
      <c r="F193" s="5">
        <v>0</v>
      </c>
      <c r="G193" s="5">
        <v>0</v>
      </c>
      <c r="H193" s="5">
        <v>0</v>
      </c>
      <c r="I193" s="5">
        <v>0.1</v>
      </c>
      <c r="J193" s="5">
        <v>0.1</v>
      </c>
      <c r="K193" s="5">
        <v>0</v>
      </c>
      <c r="L193" s="5">
        <v>0</v>
      </c>
      <c r="M193" s="5">
        <v>0</v>
      </c>
      <c r="N193" s="5">
        <v>4.0999999999999996</v>
      </c>
      <c r="O193" s="5">
        <v>3</v>
      </c>
      <c r="P193" s="5">
        <v>0</v>
      </c>
      <c r="Q193" s="5">
        <v>0</v>
      </c>
      <c r="R193" s="5">
        <v>9.1999999999999993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</row>
    <row r="194" spans="1:23">
      <c r="A194" s="4">
        <v>983</v>
      </c>
      <c r="B194" s="5" t="s">
        <v>187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</row>
    <row r="195" spans="1:23">
      <c r="A195" s="4">
        <v>986</v>
      </c>
      <c r="B195" s="5" t="s">
        <v>188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0.1</v>
      </c>
      <c r="T195" s="5">
        <v>0</v>
      </c>
      <c r="U195" s="5">
        <v>0</v>
      </c>
      <c r="V195" s="5">
        <v>0</v>
      </c>
      <c r="W195" s="5">
        <v>0</v>
      </c>
    </row>
    <row r="196" spans="1:23">
      <c r="A196" s="4">
        <v>987</v>
      </c>
      <c r="B196" s="5" t="s">
        <v>189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</row>
    <row r="197" spans="1:23">
      <c r="A197" s="4">
        <v>990</v>
      </c>
      <c r="B197" s="5" t="s">
        <v>190</v>
      </c>
      <c r="C197" s="5">
        <v>0</v>
      </c>
      <c r="D197" s="5">
        <v>0.1</v>
      </c>
      <c r="E197" s="5">
        <v>0</v>
      </c>
      <c r="F197" s="5">
        <v>0</v>
      </c>
      <c r="G197" s="5">
        <v>0.1</v>
      </c>
      <c r="H197" s="5">
        <v>0</v>
      </c>
      <c r="I197" s="5">
        <v>0</v>
      </c>
      <c r="J197" s="5">
        <v>0.1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0.2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</row>
    <row r="199" spans="1:23">
      <c r="C199" s="534"/>
      <c r="D199" s="534"/>
      <c r="E199" s="534"/>
      <c r="F199" s="534"/>
      <c r="G199" s="534"/>
      <c r="H199" s="534"/>
      <c r="I199" s="534"/>
      <c r="J199" s="534"/>
      <c r="K199" s="534"/>
      <c r="L199" s="534"/>
      <c r="M199" s="534"/>
      <c r="N199" s="534"/>
      <c r="O199" s="534"/>
      <c r="P199" s="534"/>
      <c r="Q199" s="534"/>
      <c r="R199" s="534"/>
      <c r="S199" s="534"/>
      <c r="T199" s="534"/>
      <c r="V199" s="534"/>
      <c r="W199" s="534"/>
    </row>
    <row r="200" spans="1:23">
      <c r="C200" s="534"/>
      <c r="D200" s="534"/>
      <c r="E200" s="534"/>
      <c r="F200" s="534"/>
      <c r="G200" s="534"/>
      <c r="H200" s="534"/>
      <c r="I200" s="534"/>
      <c r="J200" s="534"/>
      <c r="K200" s="534"/>
      <c r="L200" s="534"/>
      <c r="M200" s="534"/>
      <c r="N200" s="534"/>
      <c r="O200" s="534"/>
      <c r="P200" s="534"/>
      <c r="Q200" s="534"/>
      <c r="R200" s="534"/>
      <c r="S200" s="534"/>
      <c r="T200" s="534"/>
      <c r="V200" s="534"/>
      <c r="W200" s="534"/>
    </row>
    <row r="201" spans="1:23">
      <c r="C201" s="534"/>
      <c r="D201" s="534"/>
      <c r="E201" s="534"/>
      <c r="F201" s="534"/>
      <c r="G201" s="534"/>
      <c r="H201" s="534"/>
      <c r="I201" s="534"/>
      <c r="J201" s="534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V201" s="534"/>
      <c r="W201" s="5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5"/>
  <sheetViews>
    <sheetView topLeftCell="B1" workbookViewId="0">
      <selection activeCell="A95" sqref="A95"/>
    </sheetView>
  </sheetViews>
  <sheetFormatPr defaultRowHeight="15"/>
  <cols>
    <col min="3" max="13" width="9.140625" style="534"/>
  </cols>
  <sheetData>
    <row r="1" spans="1:48" s="9" customFormat="1">
      <c r="A1" s="12" t="s">
        <v>435</v>
      </c>
      <c r="B1" s="21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48" s="9" customFormat="1">
      <c r="A2" s="1" t="s">
        <v>401</v>
      </c>
      <c r="B2" s="21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48" s="9" customFormat="1">
      <c r="A3" s="26" t="s">
        <v>421</v>
      </c>
      <c r="B3" s="21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48" s="9" customFormat="1">
      <c r="A4" s="21"/>
      <c r="B4" s="21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48">
      <c r="A5" s="17" t="s">
        <v>191</v>
      </c>
      <c r="B5" s="17" t="s">
        <v>192</v>
      </c>
      <c r="C5" s="22">
        <v>1980</v>
      </c>
      <c r="D5" s="22">
        <v>1981</v>
      </c>
      <c r="E5" s="22">
        <v>1982</v>
      </c>
      <c r="F5" s="22">
        <v>1983</v>
      </c>
      <c r="G5" s="22">
        <v>1984</v>
      </c>
      <c r="H5" s="22">
        <v>1985</v>
      </c>
      <c r="I5" s="22">
        <v>1986</v>
      </c>
      <c r="J5" s="22">
        <v>1987</v>
      </c>
      <c r="K5" s="22">
        <v>1988</v>
      </c>
      <c r="L5" s="22">
        <v>1989</v>
      </c>
      <c r="M5" s="22">
        <v>1990</v>
      </c>
      <c r="N5" s="11">
        <v>1991</v>
      </c>
      <c r="O5" s="11">
        <v>1992</v>
      </c>
      <c r="P5" s="11">
        <v>1993</v>
      </c>
      <c r="Q5" s="11">
        <v>1994</v>
      </c>
      <c r="R5" s="11">
        <v>1995</v>
      </c>
      <c r="S5" s="11">
        <v>1996</v>
      </c>
      <c r="T5" s="11">
        <v>1997</v>
      </c>
      <c r="U5" s="11">
        <v>1998</v>
      </c>
      <c r="V5" s="11">
        <v>1999</v>
      </c>
      <c r="W5" s="11">
        <v>2000</v>
      </c>
      <c r="X5" s="11">
        <v>2001</v>
      </c>
      <c r="Y5" s="11">
        <v>2002</v>
      </c>
      <c r="Z5" s="11">
        <v>2003</v>
      </c>
      <c r="AA5" s="11">
        <v>2004</v>
      </c>
      <c r="AB5" s="11">
        <v>2005</v>
      </c>
      <c r="AC5" s="11">
        <v>2006</v>
      </c>
      <c r="AD5" s="11">
        <v>2007</v>
      </c>
      <c r="AE5" s="11">
        <v>2008</v>
      </c>
      <c r="AF5" s="11">
        <v>2009</v>
      </c>
      <c r="AG5" s="2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</row>
    <row r="6" spans="1:48">
      <c r="A6" s="17">
        <v>58</v>
      </c>
      <c r="B6" s="17" t="s">
        <v>13</v>
      </c>
      <c r="C6" s="536">
        <v>0.45754099999999998</v>
      </c>
      <c r="D6" s="536">
        <v>0.464947</v>
      </c>
      <c r="E6" s="536">
        <v>0.45807619999999999</v>
      </c>
      <c r="F6" s="536">
        <v>0.50984200000000002</v>
      </c>
      <c r="G6" s="536">
        <v>0.5519155</v>
      </c>
      <c r="H6" s="536">
        <v>0.59051500000000001</v>
      </c>
      <c r="I6" s="536">
        <v>0.6496208</v>
      </c>
      <c r="J6" s="536">
        <v>0.64878999999999998</v>
      </c>
      <c r="K6" s="536">
        <v>0.70345100000000005</v>
      </c>
      <c r="L6" s="536">
        <v>0.7501681</v>
      </c>
      <c r="M6" s="536">
        <v>0.75506110000000004</v>
      </c>
      <c r="N6" s="536">
        <v>0.75441152400445011</v>
      </c>
      <c r="O6" s="536">
        <v>0.76718172974084109</v>
      </c>
      <c r="P6" s="536">
        <v>0.81471722948353997</v>
      </c>
      <c r="Q6" s="536">
        <v>0.88247663455742997</v>
      </c>
      <c r="R6" s="536">
        <v>0.88176914795149985</v>
      </c>
      <c r="S6" s="536">
        <v>0.93676202604303505</v>
      </c>
      <c r="T6" s="536">
        <v>0.955501202404474</v>
      </c>
      <c r="U6" s="536">
        <v>0.99853639854118204</v>
      </c>
      <c r="V6" s="536">
        <v>1.0580423207929921</v>
      </c>
      <c r="W6" s="536">
        <v>1.0472243935280099</v>
      </c>
      <c r="X6" s="536">
        <v>1.0671986453873219</v>
      </c>
      <c r="Y6" s="536">
        <v>1.1206845878385301</v>
      </c>
      <c r="Z6" s="536">
        <v>1.118343998993546</v>
      </c>
      <c r="AA6" s="536">
        <v>1.191783102905589</v>
      </c>
      <c r="AB6" s="536">
        <v>1.212126440406476</v>
      </c>
      <c r="AC6" s="536">
        <v>1.2960976073788801</v>
      </c>
      <c r="AD6" s="536">
        <v>1.4557133248462999</v>
      </c>
      <c r="AE6" s="536">
        <v>1.4546303844371999</v>
      </c>
      <c r="AF6" s="536">
        <v>1.2895429757441002</v>
      </c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>
      <c r="A7" s="17">
        <v>700</v>
      </c>
      <c r="B7" s="17" t="s">
        <v>148</v>
      </c>
      <c r="C7" s="536">
        <v>12.165469999999999</v>
      </c>
      <c r="D7" s="536">
        <v>12.426729999999999</v>
      </c>
      <c r="E7" s="536">
        <v>12.67667</v>
      </c>
      <c r="F7" s="536">
        <v>13.30134</v>
      </c>
      <c r="G7" s="536">
        <v>13.545310000000001</v>
      </c>
      <c r="H7" s="536">
        <v>13.581390000000001</v>
      </c>
      <c r="I7" s="536">
        <v>13.98809</v>
      </c>
      <c r="J7" s="536">
        <v>12.55273</v>
      </c>
      <c r="K7" s="536">
        <v>11.51465</v>
      </c>
      <c r="L7" s="536">
        <v>10.70228</v>
      </c>
      <c r="M7" s="536">
        <v>10.3682</v>
      </c>
      <c r="N7" s="536">
        <v>9.5906144563191216</v>
      </c>
      <c r="O7" s="536">
        <v>10.004395725116055</v>
      </c>
      <c r="P7" s="536">
        <v>7.694209937230748</v>
      </c>
      <c r="Q7" s="536">
        <v>6.1237147981316582</v>
      </c>
      <c r="R7" s="536">
        <v>9.3987032182790955</v>
      </c>
      <c r="S7" s="536">
        <v>9.0988434794959723</v>
      </c>
      <c r="T7" s="536">
        <v>9.8345054507388205</v>
      </c>
      <c r="U7" s="536">
        <v>9.5981283490581539</v>
      </c>
      <c r="V7" s="536">
        <v>9.3735900484272126</v>
      </c>
      <c r="W7" s="536">
        <v>9.145132846461868</v>
      </c>
      <c r="X7" s="536">
        <v>8.8745930935196053</v>
      </c>
      <c r="Y7" s="536">
        <v>15.279485887358883</v>
      </c>
      <c r="Z7" s="536">
        <v>17.211500916884166</v>
      </c>
      <c r="AA7" s="536">
        <v>17.624640212522369</v>
      </c>
      <c r="AB7" s="536">
        <v>19.947040610273053</v>
      </c>
      <c r="AC7" s="536">
        <v>21.35874696038945</v>
      </c>
      <c r="AD7" s="536">
        <v>23.486296878910476</v>
      </c>
      <c r="AE7" s="536">
        <v>24.748586419233433</v>
      </c>
      <c r="AF7" s="536">
        <v>29.731598394313021</v>
      </c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>
      <c r="A8" s="17">
        <v>339</v>
      </c>
      <c r="B8" s="17" t="s">
        <v>56</v>
      </c>
      <c r="C8" s="536">
        <v>7.742394</v>
      </c>
      <c r="D8" s="536">
        <v>8.1068020000000001</v>
      </c>
      <c r="E8" s="536">
        <v>8.2692639999999997</v>
      </c>
      <c r="F8" s="536">
        <v>8.4503360000000001</v>
      </c>
      <c r="G8" s="536">
        <v>8.4999520000000004</v>
      </c>
      <c r="H8" s="536">
        <v>8.6200829999999993</v>
      </c>
      <c r="I8" s="536">
        <v>9.1043730000000007</v>
      </c>
      <c r="J8" s="536">
        <v>9.154833</v>
      </c>
      <c r="K8" s="536">
        <v>9.0189780000000006</v>
      </c>
      <c r="L8" s="536">
        <v>9.7713909999999995</v>
      </c>
      <c r="M8" s="536">
        <v>8.9796049999999994</v>
      </c>
      <c r="N8" s="6">
        <v>7.6055478487146999</v>
      </c>
      <c r="O8" s="6">
        <v>7.4442151483391985</v>
      </c>
      <c r="P8" s="6">
        <v>7.6369303563965998</v>
      </c>
      <c r="Q8" s="6">
        <v>7.9925109766734002</v>
      </c>
      <c r="R8" s="6">
        <v>8.6346738497100013</v>
      </c>
      <c r="S8" s="6">
        <v>9.6797491743420014</v>
      </c>
      <c r="T8" s="6">
        <v>8.7819995652900005</v>
      </c>
      <c r="U8" s="6">
        <v>9.7321169136869994</v>
      </c>
      <c r="V8" s="6">
        <v>10.860328433173999</v>
      </c>
      <c r="W8" s="6">
        <v>11.127707346056601</v>
      </c>
      <c r="X8" s="6">
        <v>11.354509190480801</v>
      </c>
      <c r="Y8" s="6">
        <v>11.612347156391399</v>
      </c>
      <c r="Z8" s="6">
        <v>12.886006038665998</v>
      </c>
      <c r="AA8" s="6">
        <v>14.376232833919399</v>
      </c>
      <c r="AB8" s="6">
        <v>15.217069007085</v>
      </c>
      <c r="AC8" s="6">
        <v>16.5343740958062</v>
      </c>
      <c r="AD8" s="6">
        <v>18.004504567755198</v>
      </c>
      <c r="AE8" s="6">
        <v>19.331761444655999</v>
      </c>
      <c r="AF8" s="536">
        <v>19.810987948712004</v>
      </c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>
      <c r="A9" s="17">
        <v>615</v>
      </c>
      <c r="B9" s="17" t="s">
        <v>129</v>
      </c>
      <c r="C9" s="536">
        <v>90.191119999999998</v>
      </c>
      <c r="D9" s="536">
        <v>91.126720000000006</v>
      </c>
      <c r="E9" s="536">
        <v>98.186760000000007</v>
      </c>
      <c r="F9" s="536">
        <v>103.2684</v>
      </c>
      <c r="G9" s="536">
        <v>109.45659999999999</v>
      </c>
      <c r="H9" s="536">
        <v>113.06019999999999</v>
      </c>
      <c r="I9" s="536">
        <v>116.5985</v>
      </c>
      <c r="J9" s="536">
        <v>118.8784</v>
      </c>
      <c r="K9" s="536">
        <v>118.2032</v>
      </c>
      <c r="L9" s="536">
        <v>121.7533</v>
      </c>
      <c r="M9" s="536">
        <v>123.98739999999999</v>
      </c>
      <c r="N9" s="536">
        <v>124.33701817696956</v>
      </c>
      <c r="O9" s="536">
        <v>125.86760159543313</v>
      </c>
      <c r="P9" s="536">
        <v>123.55155073614016</v>
      </c>
      <c r="Q9" s="536">
        <v>122.07342417244639</v>
      </c>
      <c r="R9" s="536">
        <v>126.87897037102857</v>
      </c>
      <c r="S9" s="536">
        <v>133.74891918705205</v>
      </c>
      <c r="T9" s="536">
        <v>135.18271144962242</v>
      </c>
      <c r="U9" s="536">
        <v>142.55375940872602</v>
      </c>
      <c r="V9" s="536">
        <v>147.05229865797807</v>
      </c>
      <c r="W9" s="536">
        <v>150.19743178401421</v>
      </c>
      <c r="X9" s="536">
        <v>154.42407025150175</v>
      </c>
      <c r="Y9" s="536">
        <v>160.792062672566</v>
      </c>
      <c r="Z9" s="536">
        <v>172.54734035271187</v>
      </c>
      <c r="AA9" s="536">
        <v>181.07643035881193</v>
      </c>
      <c r="AB9" s="536">
        <v>192.02925567309262</v>
      </c>
      <c r="AC9" s="536">
        <v>196.4108162808995</v>
      </c>
      <c r="AD9" s="536">
        <v>202.25610834026114</v>
      </c>
      <c r="AE9" s="536">
        <v>208.03450335932001</v>
      </c>
      <c r="AF9" s="536">
        <v>207.61095365304263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</row>
    <row r="10" spans="1:48">
      <c r="A10" s="17">
        <v>540</v>
      </c>
      <c r="B10" s="17" t="s">
        <v>114</v>
      </c>
      <c r="C10" s="536">
        <v>14.24968</v>
      </c>
      <c r="D10" s="536">
        <v>13.62064</v>
      </c>
      <c r="E10" s="536">
        <v>14.09252</v>
      </c>
      <c r="F10" s="536">
        <v>14.735580000000001</v>
      </c>
      <c r="G10" s="536">
        <v>16.254899999999999</v>
      </c>
      <c r="H10" s="536">
        <v>16.329129999999999</v>
      </c>
      <c r="I10" s="536">
        <v>17.711200000000002</v>
      </c>
      <c r="J10" s="536">
        <v>18.833970000000001</v>
      </c>
      <c r="K10" s="536">
        <v>20.29684</v>
      </c>
      <c r="L10" s="536">
        <v>19.921420000000001</v>
      </c>
      <c r="M10" s="536">
        <v>19.858090000000001</v>
      </c>
      <c r="N10" s="536">
        <v>21.423499777913811</v>
      </c>
      <c r="O10" s="6">
        <v>21.257470357669082</v>
      </c>
      <c r="P10" s="6">
        <v>15.513136181634007</v>
      </c>
      <c r="Q10" s="6">
        <v>16.060961970490581</v>
      </c>
      <c r="R10" s="6">
        <v>18.836167125242095</v>
      </c>
      <c r="S10" s="6">
        <v>22.01394978617509</v>
      </c>
      <c r="T10" s="6">
        <v>23.70793756284532</v>
      </c>
      <c r="U10" s="6">
        <v>22.75002040592231</v>
      </c>
      <c r="V10" s="6">
        <v>24.825800120717624</v>
      </c>
      <c r="W10" s="6">
        <v>24.185987530281718</v>
      </c>
      <c r="X10" s="6">
        <v>23.100781362140214</v>
      </c>
      <c r="Y10" s="6">
        <v>26.95011077835726</v>
      </c>
      <c r="Z10" s="6">
        <v>27.45041591445711</v>
      </c>
      <c r="AA10" s="6">
        <v>30.07012918765648</v>
      </c>
      <c r="AB10" s="6">
        <v>36.387433831808238</v>
      </c>
      <c r="AC10" s="6">
        <v>44.050162334196393</v>
      </c>
      <c r="AD10" s="6">
        <v>53.386614851770545</v>
      </c>
      <c r="AE10" s="6">
        <v>60.702804974664296</v>
      </c>
      <c r="AF10" s="6">
        <v>60.873747695368401</v>
      </c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>
      <c r="A11" s="17">
        <v>160</v>
      </c>
      <c r="B11" s="17" t="s">
        <v>33</v>
      </c>
      <c r="C11" s="536">
        <v>245.39439999999999</v>
      </c>
      <c r="D11" s="536">
        <v>232.6848</v>
      </c>
      <c r="E11" s="536">
        <v>226.96180000000001</v>
      </c>
      <c r="F11" s="536">
        <v>236.46379999999999</v>
      </c>
      <c r="G11" s="536">
        <v>240.7201</v>
      </c>
      <c r="H11" s="536">
        <v>224.7902</v>
      </c>
      <c r="I11" s="536">
        <v>240.4118</v>
      </c>
      <c r="J11" s="536">
        <v>246.2405</v>
      </c>
      <c r="K11" s="536">
        <v>242.989</v>
      </c>
      <c r="L11" s="536">
        <v>226.3082</v>
      </c>
      <c r="M11" s="536">
        <v>226.4796</v>
      </c>
      <c r="N11" s="536">
        <v>248.50131411501795</v>
      </c>
      <c r="O11" s="6">
        <v>271.91825699884293</v>
      </c>
      <c r="P11" s="6">
        <v>289.86717678784538</v>
      </c>
      <c r="Q11" s="6">
        <v>305.69924985041672</v>
      </c>
      <c r="R11" s="6">
        <v>303.03164361798787</v>
      </c>
      <c r="S11" s="6">
        <v>318.0242202232871</v>
      </c>
      <c r="T11" s="6">
        <v>340.47221570385648</v>
      </c>
      <c r="U11" s="6">
        <v>354.0618927625718</v>
      </c>
      <c r="V11" s="6">
        <v>344.55807492189905</v>
      </c>
      <c r="W11" s="6">
        <v>342.51716133085506</v>
      </c>
      <c r="X11" s="6">
        <v>332.33860665222267</v>
      </c>
      <c r="Y11" s="6">
        <v>310.27594577994273</v>
      </c>
      <c r="Z11" s="6">
        <v>333.85379262617857</v>
      </c>
      <c r="AA11" s="6">
        <v>358.7349189943593</v>
      </c>
      <c r="AB11" s="6">
        <v>390.8225783358821</v>
      </c>
      <c r="AC11" s="6">
        <v>422.09863275128373</v>
      </c>
      <c r="AD11" s="6">
        <v>454.34521535471367</v>
      </c>
      <c r="AE11" s="6">
        <v>479.585764991502</v>
      </c>
      <c r="AF11" s="6">
        <v>489.32126354260794</v>
      </c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>
      <c r="A12" s="17">
        <v>371</v>
      </c>
      <c r="B12" s="17" t="s">
        <v>73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 t="s">
        <v>194</v>
      </c>
      <c r="O12" s="6" t="s">
        <v>194</v>
      </c>
      <c r="P12" s="536">
        <v>5.1529259770279197</v>
      </c>
      <c r="Q12" s="536">
        <v>5.3774866701583353</v>
      </c>
      <c r="R12" s="536">
        <v>5.8893774161247654</v>
      </c>
      <c r="S12" s="536">
        <v>6.2529805258129239</v>
      </c>
      <c r="T12" s="536">
        <v>6.3462227918928997</v>
      </c>
      <c r="U12" s="536">
        <v>6.8527724355138631</v>
      </c>
      <c r="V12" s="536">
        <v>7.1072412021931335</v>
      </c>
      <c r="W12" s="536">
        <v>7.8181516423295516</v>
      </c>
      <c r="X12" s="536">
        <v>8.745830431103915</v>
      </c>
      <c r="Y12" s="536">
        <v>9.7592198304602338</v>
      </c>
      <c r="Z12" s="536">
        <v>10.64361788881347</v>
      </c>
      <c r="AA12" s="536">
        <v>12.006589409604864</v>
      </c>
      <c r="AB12" s="536">
        <v>13.547365289912689</v>
      </c>
      <c r="AC12" s="536">
        <v>15.045508244613091</v>
      </c>
      <c r="AD12" s="536">
        <v>16.652632414605002</v>
      </c>
      <c r="AE12" s="536">
        <v>17.046283158745101</v>
      </c>
      <c r="AF12" s="536">
        <v>15.949633433804701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>
      <c r="A13" s="17">
        <v>900</v>
      </c>
      <c r="B13" s="17" t="s">
        <v>177</v>
      </c>
      <c r="C13" s="536">
        <v>323.3938</v>
      </c>
      <c r="D13" s="536">
        <v>335.32260000000002</v>
      </c>
      <c r="E13" s="536">
        <v>330.43799999999999</v>
      </c>
      <c r="F13" s="536">
        <v>345.53</v>
      </c>
      <c r="G13" s="536">
        <v>363.72359999999998</v>
      </c>
      <c r="H13" s="536">
        <v>381.0616</v>
      </c>
      <c r="I13" s="536">
        <v>390.51330000000002</v>
      </c>
      <c r="J13" s="536">
        <v>408.28429999999997</v>
      </c>
      <c r="K13" s="536">
        <v>421.50839999999999</v>
      </c>
      <c r="L13" s="536">
        <v>438.31729999999999</v>
      </c>
      <c r="M13" s="536">
        <v>437.57560000000001</v>
      </c>
      <c r="N13" s="536">
        <v>442.88284256064452</v>
      </c>
      <c r="O13" s="536">
        <v>457.7758194591396</v>
      </c>
      <c r="P13" s="536">
        <v>474.67694769868291</v>
      </c>
      <c r="Q13" s="536">
        <v>497.62182514175731</v>
      </c>
      <c r="R13" s="536">
        <v>518.90154725915386</v>
      </c>
      <c r="S13" s="536">
        <v>541.02119929389596</v>
      </c>
      <c r="T13" s="536">
        <v>565.96766859517447</v>
      </c>
      <c r="U13" s="536">
        <v>594.76251196338478</v>
      </c>
      <c r="V13" s="536">
        <v>621.10730881004599</v>
      </c>
      <c r="W13" s="536">
        <v>633.21355704007158</v>
      </c>
      <c r="X13" s="536">
        <v>656.16805653439303</v>
      </c>
      <c r="Y13" s="536">
        <v>679.38453181273894</v>
      </c>
      <c r="Z13" s="536">
        <v>709.06336474724799</v>
      </c>
      <c r="AA13" s="536">
        <v>729.63168076353304</v>
      </c>
      <c r="AB13" s="536">
        <v>776.66175755261486</v>
      </c>
      <c r="AC13" s="536">
        <v>805.78921666327847</v>
      </c>
      <c r="AD13" s="536">
        <v>836.00415554911456</v>
      </c>
      <c r="AE13" s="536">
        <v>854.51414354947201</v>
      </c>
      <c r="AF13" s="536">
        <v>877.89704686000891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>
      <c r="A14" s="17">
        <v>305</v>
      </c>
      <c r="B14" s="17" t="s">
        <v>49</v>
      </c>
      <c r="C14" s="536">
        <v>168.14959999999999</v>
      </c>
      <c r="D14" s="536">
        <v>168.96440000000001</v>
      </c>
      <c r="E14" s="536">
        <v>172.21180000000001</v>
      </c>
      <c r="F14" s="536">
        <v>177.0179</v>
      </c>
      <c r="G14" s="536">
        <v>177.86410000000001</v>
      </c>
      <c r="H14" s="536">
        <v>183.5016</v>
      </c>
      <c r="I14" s="536">
        <v>186.68369999999999</v>
      </c>
      <c r="J14" s="536">
        <v>189.89859999999999</v>
      </c>
      <c r="K14" s="536">
        <v>197.0796</v>
      </c>
      <c r="L14" s="536">
        <v>205.52420000000001</v>
      </c>
      <c r="M14" s="536">
        <v>214.6292</v>
      </c>
      <c r="N14" s="536">
        <v>221.59277188120137</v>
      </c>
      <c r="O14" s="536">
        <v>226.89067061561207</v>
      </c>
      <c r="P14" s="536">
        <v>227.94456474632048</v>
      </c>
      <c r="Q14" s="536">
        <v>232.77773240390852</v>
      </c>
      <c r="R14" s="536">
        <v>237.45939267711211</v>
      </c>
      <c r="S14" s="536">
        <v>242.75547367883777</v>
      </c>
      <c r="T14" s="536">
        <v>247.85106991663088</v>
      </c>
      <c r="U14" s="536">
        <v>256.39112268449355</v>
      </c>
      <c r="V14" s="536">
        <v>264.18046023247121</v>
      </c>
      <c r="W14" s="536">
        <v>273.38776268614828</v>
      </c>
      <c r="X14" s="536">
        <v>275.82575398301043</v>
      </c>
      <c r="Y14" s="536">
        <v>277.45489391126887</v>
      </c>
      <c r="Z14" s="536">
        <v>280.76717523903926</v>
      </c>
      <c r="AA14" s="536">
        <v>287.56455095019771</v>
      </c>
      <c r="AB14" s="536">
        <v>291.6324539334808</v>
      </c>
      <c r="AC14" s="536">
        <v>301.54806011968486</v>
      </c>
      <c r="AD14" s="536">
        <v>313.50100133805893</v>
      </c>
      <c r="AE14" s="536">
        <v>319.93429293135205</v>
      </c>
      <c r="AF14" s="536">
        <v>307.16268137743003</v>
      </c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>
      <c r="A15" s="17">
        <v>373</v>
      </c>
      <c r="B15" s="17" t="s">
        <v>75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 t="s">
        <v>194</v>
      </c>
      <c r="O15" s="6" t="s">
        <v>194</v>
      </c>
      <c r="P15" s="536">
        <v>23.024542647346184</v>
      </c>
      <c r="Q15" s="536">
        <v>19.136416413487186</v>
      </c>
      <c r="R15" s="536">
        <v>16.577950890002558</v>
      </c>
      <c r="S15" s="536">
        <v>16.47561695319936</v>
      </c>
      <c r="T15" s="536">
        <v>16.553762089887158</v>
      </c>
      <c r="U15" s="536">
        <v>18.58503227138101</v>
      </c>
      <c r="V15" s="536">
        <v>21.133641565441902</v>
      </c>
      <c r="W15" s="536">
        <v>22.554445188870847</v>
      </c>
      <c r="X15" s="536">
        <v>24.076811679887712</v>
      </c>
      <c r="Y15" s="536">
        <v>26.536923197993509</v>
      </c>
      <c r="Z15" s="536">
        <v>28.07624447445815</v>
      </c>
      <c r="AA15" s="536">
        <v>30.46747274968903</v>
      </c>
      <c r="AB15" s="536">
        <v>38.170748701071957</v>
      </c>
      <c r="AC15" s="536">
        <v>50.962360582467916</v>
      </c>
      <c r="AD15" s="536">
        <v>64.718223127143347</v>
      </c>
      <c r="AE15" s="536">
        <v>71.055012718909794</v>
      </c>
      <c r="AF15" s="536">
        <v>79.247818502213889</v>
      </c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>
      <c r="A16" s="17">
        <v>692</v>
      </c>
      <c r="B16" s="17" t="s">
        <v>144</v>
      </c>
      <c r="C16" s="536">
        <v>10.491860000000001</v>
      </c>
      <c r="D16" s="536">
        <v>9.6821839999999995</v>
      </c>
      <c r="E16" s="536">
        <v>8.8706460000000007</v>
      </c>
      <c r="F16" s="536">
        <v>9.673921</v>
      </c>
      <c r="G16" s="536">
        <v>10.135630000000001</v>
      </c>
      <c r="H16" s="536">
        <v>7.9525480000000002</v>
      </c>
      <c r="I16" s="536">
        <v>7.6985000000000001</v>
      </c>
      <c r="J16" s="536">
        <v>7.7222739999999996</v>
      </c>
      <c r="K16" s="536">
        <v>8.5467569999999995</v>
      </c>
      <c r="L16" s="536">
        <v>9.1469249999999995</v>
      </c>
      <c r="M16" s="536">
        <v>9.4202049999999993</v>
      </c>
      <c r="N16" s="536">
        <v>10.100087240624001</v>
      </c>
      <c r="O16" s="536">
        <v>11.002225263078</v>
      </c>
      <c r="P16" s="536">
        <v>11.198388579588002</v>
      </c>
      <c r="Q16" s="536">
        <v>11.628002714519999</v>
      </c>
      <c r="R16" s="536">
        <v>11.408576152386001</v>
      </c>
      <c r="S16" s="536">
        <v>11.784802086944001</v>
      </c>
      <c r="T16" s="536">
        <v>12.313237557634</v>
      </c>
      <c r="U16" s="536">
        <v>13.08040732625</v>
      </c>
      <c r="V16" s="536">
        <v>12.81369769728</v>
      </c>
      <c r="W16" s="536">
        <v>13.747748015540001</v>
      </c>
      <c r="X16" s="536">
        <v>14.176592485440001</v>
      </c>
      <c r="Y16" s="536">
        <v>15.817518114254998</v>
      </c>
      <c r="Z16" s="536">
        <v>17.135368529972002</v>
      </c>
      <c r="AA16" s="536">
        <v>18.801173262480003</v>
      </c>
      <c r="AB16" s="536">
        <v>20.501543849523998</v>
      </c>
      <c r="AC16" s="536">
        <v>22.857888496320001</v>
      </c>
      <c r="AD16" s="536">
        <v>25.705655449086002</v>
      </c>
      <c r="AE16" s="536">
        <v>27.648819528597002</v>
      </c>
      <c r="AF16" s="536">
        <v>26.92749452536</v>
      </c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>
      <c r="A17" s="17">
        <v>53</v>
      </c>
      <c r="B17" s="17" t="s">
        <v>8</v>
      </c>
      <c r="C17" s="536">
        <v>5.2380079999999998</v>
      </c>
      <c r="D17" s="536">
        <v>5.1731509999999998</v>
      </c>
      <c r="E17" s="536">
        <v>4.8664230000000002</v>
      </c>
      <c r="F17" s="536">
        <v>4.8629420000000003</v>
      </c>
      <c r="G17" s="536">
        <v>4.9937250000000004</v>
      </c>
      <c r="H17" s="536">
        <v>5.1251439999999997</v>
      </c>
      <c r="I17" s="536">
        <v>5.2904689999999999</v>
      </c>
      <c r="J17" s="536">
        <v>5.3816170000000003</v>
      </c>
      <c r="K17" s="536">
        <v>5.6230099999999998</v>
      </c>
      <c r="L17" s="536">
        <v>5.887918</v>
      </c>
      <c r="M17" s="536">
        <v>5.7160970000000004</v>
      </c>
      <c r="N17" s="536">
        <v>5.3945620354964481</v>
      </c>
      <c r="O17" s="536">
        <v>4.8506837692123197</v>
      </c>
      <c r="P17" s="536">
        <v>4.9605068012950104</v>
      </c>
      <c r="Q17" s="536">
        <v>5.1111828079839805</v>
      </c>
      <c r="R17" s="536">
        <v>5.571268796324266</v>
      </c>
      <c r="S17" s="536">
        <v>5.7032852365689006</v>
      </c>
      <c r="T17" s="536">
        <v>5.9368616718994174</v>
      </c>
      <c r="U17" s="536">
        <v>6.3757137743925396</v>
      </c>
      <c r="V17" s="536">
        <v>6.330091318877729</v>
      </c>
      <c r="W17" s="536">
        <v>6.3986165534939996</v>
      </c>
      <c r="X17" s="536">
        <v>6.3772023815868426</v>
      </c>
      <c r="Y17" s="536">
        <v>5.961143860938396</v>
      </c>
      <c r="Z17" s="536">
        <v>5.9841862377935868</v>
      </c>
      <c r="AA17" s="536">
        <v>6.3026997411637975</v>
      </c>
      <c r="AB17" s="536">
        <v>6.5437103873774651</v>
      </c>
      <c r="AC17" s="536">
        <v>6.861968326613832</v>
      </c>
      <c r="AD17" s="536">
        <v>6.9336381549614394</v>
      </c>
      <c r="AE17" s="536">
        <v>6.9506383621505989</v>
      </c>
      <c r="AF17" s="536">
        <v>6.5276836906827</v>
      </c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>
      <c r="A18" s="17">
        <v>211</v>
      </c>
      <c r="B18" s="17" t="s">
        <v>38</v>
      </c>
      <c r="C18" s="536">
        <v>214.6259</v>
      </c>
      <c r="D18" s="536">
        <v>210.68219999999999</v>
      </c>
      <c r="E18" s="536">
        <v>211.67500000000001</v>
      </c>
      <c r="F18" s="536">
        <v>210.9434</v>
      </c>
      <c r="G18" s="536">
        <v>216.39959999999999</v>
      </c>
      <c r="H18" s="536">
        <v>219.83600000000001</v>
      </c>
      <c r="I18" s="536">
        <v>224.5866</v>
      </c>
      <c r="J18" s="536">
        <v>230.70590000000001</v>
      </c>
      <c r="K18" s="536">
        <v>241.86420000000001</v>
      </c>
      <c r="L18" s="536">
        <v>252.05279999999999</v>
      </c>
      <c r="M18" s="536">
        <v>261.24349999999998</v>
      </c>
      <c r="N18" s="536">
        <v>265.24225777334146</v>
      </c>
      <c r="O18" s="536">
        <v>269.52810827389015</v>
      </c>
      <c r="P18" s="536">
        <v>265.16979198833405</v>
      </c>
      <c r="Q18" s="536">
        <v>275.23453229149851</v>
      </c>
      <c r="R18" s="536">
        <v>281.10583531359754</v>
      </c>
      <c r="S18" s="536">
        <v>284.82563046273981</v>
      </c>
      <c r="T18" s="536">
        <v>296.13856226548268</v>
      </c>
      <c r="U18" s="536">
        <v>301.22515270419638</v>
      </c>
      <c r="V18" s="536">
        <v>311.66777414426963</v>
      </c>
      <c r="W18" s="536">
        <v>323.11703599222011</v>
      </c>
      <c r="X18" s="536">
        <v>324.95963583047092</v>
      </c>
      <c r="Y18" s="536">
        <v>328.75166284138817</v>
      </c>
      <c r="Z18" s="536">
        <v>331.19373833148001</v>
      </c>
      <c r="AA18" s="536">
        <v>342.4245829488741</v>
      </c>
      <c r="AB18" s="536">
        <v>349.4857816316138</v>
      </c>
      <c r="AC18" s="536">
        <v>359.29633364451104</v>
      </c>
      <c r="AD18" s="536">
        <v>369.69284173968845</v>
      </c>
      <c r="AE18" s="536">
        <v>375.57746994761999</v>
      </c>
      <c r="AF18" s="536">
        <v>360.58936801540199</v>
      </c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>
      <c r="A19" s="17">
        <v>434</v>
      </c>
      <c r="B19" s="17" t="s">
        <v>88</v>
      </c>
      <c r="C19" s="536">
        <v>3.3128799999999998</v>
      </c>
      <c r="D19" s="536">
        <v>3.4563679999999999</v>
      </c>
      <c r="E19" s="536">
        <v>4.3888879999999997</v>
      </c>
      <c r="F19" s="536">
        <v>4.0832269999999999</v>
      </c>
      <c r="G19" s="536">
        <v>4.1962020000000004</v>
      </c>
      <c r="H19" s="536">
        <v>4.5202499999999999</v>
      </c>
      <c r="I19" s="536">
        <v>4.675935</v>
      </c>
      <c r="J19" s="536">
        <v>4.6067720000000003</v>
      </c>
      <c r="K19" s="536">
        <v>4.7185730000000001</v>
      </c>
      <c r="L19" s="536">
        <v>4.7002030000000001</v>
      </c>
      <c r="M19" s="536">
        <v>5.0474829999999997</v>
      </c>
      <c r="N19" s="536">
        <v>5.2572265500869175</v>
      </c>
      <c r="O19" s="536">
        <v>5.35415183301334</v>
      </c>
      <c r="P19" s="536">
        <v>5.6253661077163564</v>
      </c>
      <c r="Q19" s="536">
        <v>5.4385795839228894</v>
      </c>
      <c r="R19" s="536">
        <v>6.1693151129446235</v>
      </c>
      <c r="S19" s="536">
        <v>6.333763684449381</v>
      </c>
      <c r="T19" s="536">
        <v>6.7257330695028807</v>
      </c>
      <c r="U19" s="536">
        <v>6.9257800668556877</v>
      </c>
      <c r="V19" s="536">
        <v>7.3137656845755465</v>
      </c>
      <c r="W19" s="536">
        <v>7.6223910385728892</v>
      </c>
      <c r="X19" s="536">
        <v>8.1637714915805919</v>
      </c>
      <c r="Y19" s="536">
        <v>8.4796859349810383</v>
      </c>
      <c r="Z19" s="536">
        <v>8.9230673366477156</v>
      </c>
      <c r="AA19" s="536">
        <v>9.2175744247924047</v>
      </c>
      <c r="AB19" s="536">
        <v>9.2590786796770406</v>
      </c>
      <c r="AC19" s="536">
        <v>9.8681600292762663</v>
      </c>
      <c r="AD19" s="536">
        <v>10.382634000605034</v>
      </c>
      <c r="AE19" s="536">
        <v>9.2761158208242982</v>
      </c>
      <c r="AF19" s="536">
        <v>9.8118627807087986</v>
      </c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>
      <c r="A20" s="17">
        <v>439</v>
      </c>
      <c r="B20" s="17" t="s">
        <v>93</v>
      </c>
      <c r="C20" s="536">
        <v>4.2073989999999997</v>
      </c>
      <c r="D20" s="536">
        <v>4.5094880000000002</v>
      </c>
      <c r="E20" s="536">
        <v>4.5937770000000002</v>
      </c>
      <c r="F20" s="536">
        <v>4.3890440000000002</v>
      </c>
      <c r="G20" s="536">
        <v>4.2633570000000001</v>
      </c>
      <c r="H20" s="536">
        <v>4.7724859999999998</v>
      </c>
      <c r="I20" s="536">
        <v>5.1263690000000004</v>
      </c>
      <c r="J20" s="536">
        <v>5.1143380000000001</v>
      </c>
      <c r="K20" s="536">
        <v>5.3946420000000002</v>
      </c>
      <c r="L20" s="536">
        <v>5.5018909999999996</v>
      </c>
      <c r="M20" s="536">
        <v>5.5019070000000001</v>
      </c>
      <c r="N20" s="536">
        <v>5.9968311368049427</v>
      </c>
      <c r="O20" s="536">
        <v>5.9884062043825104</v>
      </c>
      <c r="P20" s="536">
        <v>6.2009047198151404</v>
      </c>
      <c r="Q20" s="536">
        <v>6.286480619421396</v>
      </c>
      <c r="R20" s="536">
        <v>6.6453810575688497</v>
      </c>
      <c r="S20" s="536">
        <v>7.3994671663785905</v>
      </c>
      <c r="T20" s="536">
        <v>7.8640765258541334</v>
      </c>
      <c r="U20" s="536">
        <v>8.4294838999969972</v>
      </c>
      <c r="V20" s="536">
        <v>9.051691645813797</v>
      </c>
      <c r="W20" s="536">
        <v>9.2094171462667376</v>
      </c>
      <c r="X20" s="536">
        <v>9.8897731635813013</v>
      </c>
      <c r="Y20" s="536">
        <v>10.393110012555283</v>
      </c>
      <c r="Z20" s="536">
        <v>11.233657577916814</v>
      </c>
      <c r="AA20" s="536">
        <v>11.746487911808961</v>
      </c>
      <c r="AB20" s="536">
        <v>12.0984091604623</v>
      </c>
      <c r="AC20" s="536">
        <v>12.918335065488787</v>
      </c>
      <c r="AD20" s="536">
        <v>13.388890252431775</v>
      </c>
      <c r="AE20" s="536">
        <v>13.709468423696102</v>
      </c>
      <c r="AF20" s="536">
        <v>14.1714213681093</v>
      </c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>
      <c r="A21" s="17">
        <v>31</v>
      </c>
      <c r="B21" s="17" t="s">
        <v>2</v>
      </c>
      <c r="C21" s="536">
        <v>4.1567090000000002</v>
      </c>
      <c r="D21" s="536">
        <v>3.8408880000000001</v>
      </c>
      <c r="E21" s="536">
        <v>4.1048929999999997</v>
      </c>
      <c r="F21" s="536">
        <v>4.3015910000000002</v>
      </c>
      <c r="G21" s="536">
        <v>4.8490900000000003</v>
      </c>
      <c r="H21" s="536">
        <v>5.1282259999999997</v>
      </c>
      <c r="I21" s="536">
        <v>5.2151149999999999</v>
      </c>
      <c r="J21" s="536">
        <v>5.3344579999999997</v>
      </c>
      <c r="K21" s="536">
        <v>5.4148160000000001</v>
      </c>
      <c r="L21" s="536">
        <v>5.7946669999999996</v>
      </c>
      <c r="M21" s="536">
        <v>5.6712220000000002</v>
      </c>
      <c r="N21" s="536">
        <v>5.452655495988</v>
      </c>
      <c r="O21" s="536">
        <v>5.2870743197340007</v>
      </c>
      <c r="P21" s="536">
        <v>5.1565908912260001</v>
      </c>
      <c r="Q21" s="536">
        <v>5.3121703547550005</v>
      </c>
      <c r="R21" s="536">
        <v>5.6233910119689998</v>
      </c>
      <c r="S21" s="536">
        <v>5.9362296100380005</v>
      </c>
      <c r="T21" s="536">
        <v>6.1117903456439997</v>
      </c>
      <c r="U21" s="536">
        <v>6.5019291995069999</v>
      </c>
      <c r="V21" s="536">
        <v>6.7079126219694416</v>
      </c>
      <c r="W21" s="536">
        <v>6.8299555371979999</v>
      </c>
      <c r="X21" s="536">
        <v>6.8915215797999991</v>
      </c>
      <c r="Y21" s="536">
        <v>7.1079575385760005</v>
      </c>
      <c r="Z21" s="536">
        <v>7.0808460408239995</v>
      </c>
      <c r="AA21" s="536">
        <v>7.2804504362519999</v>
      </c>
      <c r="AB21" s="536">
        <v>8.1556077766680009</v>
      </c>
      <c r="AC21" s="536">
        <v>8.5501928356390007</v>
      </c>
      <c r="AD21" s="536">
        <v>8.7926635421819999</v>
      </c>
      <c r="AE21" s="536">
        <v>8.9483768912350001</v>
      </c>
      <c r="AF21" s="536">
        <v>8.7416109993519999</v>
      </c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>
      <c r="A22" s="17">
        <v>760</v>
      </c>
      <c r="B22" s="17" t="s">
        <v>161</v>
      </c>
      <c r="C22" s="536">
        <v>0.39721840000000003</v>
      </c>
      <c r="D22" s="536">
        <v>0.41340939999999998</v>
      </c>
      <c r="E22" s="536">
        <v>0.44112590000000002</v>
      </c>
      <c r="F22" s="536">
        <v>0.47942079999999998</v>
      </c>
      <c r="G22" s="536">
        <v>0.5215573</v>
      </c>
      <c r="H22" s="536">
        <v>0.54660120000000001</v>
      </c>
      <c r="I22" s="536">
        <v>0.61595449999999996</v>
      </c>
      <c r="J22" s="536">
        <v>0.87060329999999997</v>
      </c>
      <c r="K22" s="536">
        <v>0.88444769999999995</v>
      </c>
      <c r="L22" s="536">
        <v>0.98452989999999996</v>
      </c>
      <c r="M22" s="536">
        <v>1.013272</v>
      </c>
      <c r="N22" s="536">
        <v>1.0279908462622098</v>
      </c>
      <c r="O22" s="536">
        <v>1.0203029876585719</v>
      </c>
      <c r="P22" s="536">
        <v>1.0680009275559195</v>
      </c>
      <c r="Q22" s="536">
        <v>1.14843578427264</v>
      </c>
      <c r="R22" s="536">
        <v>1.2419558335384762</v>
      </c>
      <c r="S22" s="536">
        <v>1.2582249201991131</v>
      </c>
      <c r="T22" s="536">
        <v>1.4052964361845022</v>
      </c>
      <c r="U22" s="536">
        <v>1.4265140978910009</v>
      </c>
      <c r="V22" s="536">
        <v>1.6306544811209138</v>
      </c>
      <c r="W22" s="536">
        <v>1.6893366090342161</v>
      </c>
      <c r="X22" s="536">
        <v>2.1144301515822241</v>
      </c>
      <c r="Y22" s="536">
        <v>2.1324027074015053</v>
      </c>
      <c r="Z22" s="536">
        <v>2.170435649437334</v>
      </c>
      <c r="AA22" s="536">
        <v>2.3026964875609539</v>
      </c>
      <c r="AB22" s="536">
        <v>2.3331247492671876</v>
      </c>
      <c r="AC22" s="536">
        <v>2.5259619350091711</v>
      </c>
      <c r="AD22" s="536">
        <v>2.745483798837888</v>
      </c>
      <c r="AE22" s="536">
        <v>2.8452960944605996</v>
      </c>
      <c r="AF22" s="536">
        <v>3.1549847496081003</v>
      </c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</row>
    <row r="23" spans="1:48">
      <c r="A23" s="17">
        <v>370</v>
      </c>
      <c r="B23" s="17" t="s">
        <v>72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 t="s">
        <v>194</v>
      </c>
      <c r="O23" s="6" t="s">
        <v>194</v>
      </c>
      <c r="P23" s="6" t="s">
        <v>194</v>
      </c>
      <c r="Q23" s="536">
        <v>49.565931323243476</v>
      </c>
      <c r="R23" s="536">
        <v>44.301008882249427</v>
      </c>
      <c r="S23" s="536">
        <v>45.122433523850503</v>
      </c>
      <c r="T23" s="536">
        <v>51.528660904517629</v>
      </c>
      <c r="U23" s="536">
        <v>54.440685795641528</v>
      </c>
      <c r="V23" s="536">
        <v>58.18987756549992</v>
      </c>
      <c r="W23" s="536">
        <v>62.762231213412718</v>
      </c>
      <c r="X23" s="536">
        <v>69.515614095592881</v>
      </c>
      <c r="Y23" s="536">
        <v>73.869993876101731</v>
      </c>
      <c r="Z23" s="536">
        <v>77.756935979619556</v>
      </c>
      <c r="AA23" s="536">
        <v>82.767357231348669</v>
      </c>
      <c r="AB23" s="536">
        <v>92.273154977814201</v>
      </c>
      <c r="AC23" s="536">
        <v>98.296721915598184</v>
      </c>
      <c r="AD23" s="536">
        <v>108.69718512446252</v>
      </c>
      <c r="AE23" s="536">
        <v>120.8225017464331</v>
      </c>
      <c r="AF23" s="536">
        <v>124.87722137230753</v>
      </c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>
      <c r="A24" s="17">
        <v>80</v>
      </c>
      <c r="B24" s="17" t="s">
        <v>16</v>
      </c>
      <c r="C24" s="536">
        <v>0.79633379999999998</v>
      </c>
      <c r="D24" s="536">
        <v>0.83674850000000001</v>
      </c>
      <c r="E24" s="536">
        <v>0.85346200000000005</v>
      </c>
      <c r="F24" s="536">
        <v>0.81894040000000001</v>
      </c>
      <c r="G24" s="536">
        <v>0.77917630000000004</v>
      </c>
      <c r="H24" s="536">
        <v>0.74565079999999995</v>
      </c>
      <c r="I24" s="536">
        <v>0.79612740000000004</v>
      </c>
      <c r="J24" s="536">
        <v>0.86912800000000001</v>
      </c>
      <c r="K24" s="536">
        <v>0.9413279</v>
      </c>
      <c r="L24" s="536">
        <v>1.066295</v>
      </c>
      <c r="M24" s="536">
        <v>1.18127</v>
      </c>
      <c r="N24" s="536">
        <v>1.2145917284106487</v>
      </c>
      <c r="O24" s="536">
        <v>1.410268766112045</v>
      </c>
      <c r="P24" s="536">
        <v>1.5146105079077077</v>
      </c>
      <c r="Q24" s="536">
        <v>1.5063313367314515</v>
      </c>
      <c r="R24" s="536">
        <v>1.6366672153141149</v>
      </c>
      <c r="S24" s="536">
        <v>1.6398870582831098</v>
      </c>
      <c r="T24" s="536">
        <v>1.6645718432723624</v>
      </c>
      <c r="U24" s="536">
        <v>1.6852371667689385</v>
      </c>
      <c r="V24" s="536">
        <v>1.7501618966150958</v>
      </c>
      <c r="W24" s="536">
        <v>1.9134111756640175</v>
      </c>
      <c r="X24" s="536">
        <v>2.0154494615307899</v>
      </c>
      <c r="Y24" s="536">
        <v>2.2216771583359201</v>
      </c>
      <c r="Z24" s="536">
        <v>2.3424573939958506</v>
      </c>
      <c r="AA24" s="536">
        <v>2.4993747094623546</v>
      </c>
      <c r="AB24" s="536">
        <v>2.5389841438852554</v>
      </c>
      <c r="AC24" s="536">
        <v>2.7443399227665761</v>
      </c>
      <c r="AD24" s="536">
        <v>2.7256115497005182</v>
      </c>
      <c r="AE24" s="536">
        <v>2.789502339232</v>
      </c>
      <c r="AF24" s="536">
        <v>2.6006159698903999</v>
      </c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>
      <c r="A25" s="17">
        <v>771</v>
      </c>
      <c r="B25" s="17" t="s">
        <v>163</v>
      </c>
      <c r="C25" s="536">
        <v>62.967919999999999</v>
      </c>
      <c r="D25" s="536">
        <v>63.48086</v>
      </c>
      <c r="E25" s="536">
        <v>65.480130000000003</v>
      </c>
      <c r="F25" s="536">
        <v>69.555149999999998</v>
      </c>
      <c r="G25" s="536">
        <v>72.275469999999999</v>
      </c>
      <c r="H25" s="536">
        <v>75.094539999999995</v>
      </c>
      <c r="I25" s="536">
        <v>77.157489999999996</v>
      </c>
      <c r="J25" s="536">
        <v>79.204390000000004</v>
      </c>
      <c r="K25" s="536">
        <v>83.45581</v>
      </c>
      <c r="L25" s="536">
        <v>87.307910000000007</v>
      </c>
      <c r="M25" s="536">
        <v>90.483279999999993</v>
      </c>
      <c r="N25" s="536">
        <v>94.186665371109569</v>
      </c>
      <c r="O25" s="6">
        <v>98.028921448632559</v>
      </c>
      <c r="P25" s="6">
        <v>99.433737435869546</v>
      </c>
      <c r="Q25" s="6">
        <v>105.81620934314485</v>
      </c>
      <c r="R25" s="6">
        <v>106.22709775672189</v>
      </c>
      <c r="S25" s="6">
        <v>106.07816870080447</v>
      </c>
      <c r="T25" s="6">
        <v>115.4646142508093</v>
      </c>
      <c r="U25" s="6">
        <v>121.81435919204242</v>
      </c>
      <c r="V25" s="6">
        <v>125.56498901732874</v>
      </c>
      <c r="W25" s="6">
        <v>130.52599056106052</v>
      </c>
      <c r="X25" s="6">
        <v>137.0583972683352</v>
      </c>
      <c r="Y25" s="6">
        <v>149.34378623617997</v>
      </c>
      <c r="Z25" s="6">
        <v>156.48723617056052</v>
      </c>
      <c r="AA25" s="6">
        <v>164.28176664212901</v>
      </c>
      <c r="AB25" s="6">
        <v>171.79694304085032</v>
      </c>
      <c r="AC25" s="6">
        <v>182.01507190429291</v>
      </c>
      <c r="AD25" s="6">
        <v>192.08383236736398</v>
      </c>
      <c r="AE25" s="6">
        <v>205.08222306869999</v>
      </c>
      <c r="AF25" s="6">
        <v>214.75935709844003</v>
      </c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>
      <c r="A26" s="17">
        <v>145</v>
      </c>
      <c r="B26" s="17" t="s">
        <v>30</v>
      </c>
      <c r="C26" s="536">
        <v>18.133089999999999</v>
      </c>
      <c r="D26" s="536">
        <v>18.362570000000002</v>
      </c>
      <c r="E26" s="536">
        <v>17.688839999999999</v>
      </c>
      <c r="F26" s="536">
        <v>16.667919999999999</v>
      </c>
      <c r="G26" s="536">
        <v>16.661799999999999</v>
      </c>
      <c r="H26" s="536">
        <v>16.468859999999999</v>
      </c>
      <c r="I26" s="536">
        <v>15.93586</v>
      </c>
      <c r="J26" s="536">
        <v>16.545449999999999</v>
      </c>
      <c r="K26" s="536">
        <v>16.973050000000001</v>
      </c>
      <c r="L26" s="536">
        <v>17.712820000000001</v>
      </c>
      <c r="M26" s="536">
        <v>18.44528</v>
      </c>
      <c r="N26" s="536">
        <v>19.291054077662739</v>
      </c>
      <c r="O26" s="536">
        <v>19.598372216578248</v>
      </c>
      <c r="P26" s="536">
        <v>20.452589874318512</v>
      </c>
      <c r="Q26" s="536">
        <v>21.517863340902558</v>
      </c>
      <c r="R26" s="536">
        <v>22.516172844038731</v>
      </c>
      <c r="S26" s="536">
        <v>23.385080341253964</v>
      </c>
      <c r="T26" s="536">
        <v>24.30418523297109</v>
      </c>
      <c r="U26" s="536">
        <v>25.271512147559047</v>
      </c>
      <c r="V26" s="536">
        <v>25.62552099020316</v>
      </c>
      <c r="W26" s="536">
        <v>26.398514968327849</v>
      </c>
      <c r="X26" s="536">
        <v>27.069930155416579</v>
      </c>
      <c r="Y26" s="536">
        <v>27.641279063396436</v>
      </c>
      <c r="Z26" s="536">
        <v>28.586652509339586</v>
      </c>
      <c r="AA26" s="536">
        <v>29.947718629412638</v>
      </c>
      <c r="AB26" s="536">
        <v>31.108532010261296</v>
      </c>
      <c r="AC26" s="536">
        <v>32.70121781243747</v>
      </c>
      <c r="AD26" s="536">
        <v>34.117131497832759</v>
      </c>
      <c r="AE26" s="536">
        <v>35.9288043606957</v>
      </c>
      <c r="AF26" s="536">
        <v>37.063618575714997</v>
      </c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>
      <c r="A27" s="17">
        <v>346</v>
      </c>
      <c r="B27" s="17" t="s">
        <v>60</v>
      </c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>
        <v>7.7694850000000004</v>
      </c>
      <c r="N27" s="536">
        <v>7.0358450154724261</v>
      </c>
      <c r="O27" s="536">
        <v>6.6039269460565224</v>
      </c>
      <c r="P27" s="536">
        <v>6.4390041395676985</v>
      </c>
      <c r="Q27" s="536">
        <v>7.1337792256604544</v>
      </c>
      <c r="R27" s="536">
        <v>8.4046976152964152</v>
      </c>
      <c r="S27" s="536">
        <v>12.671654914526597</v>
      </c>
      <c r="T27" s="536">
        <v>17.269725548528001</v>
      </c>
      <c r="U27" s="536">
        <v>20.207653096996733</v>
      </c>
      <c r="V27" s="536">
        <v>22.37370558228773</v>
      </c>
      <c r="W27" s="536">
        <v>23.746463223059571</v>
      </c>
      <c r="X27" s="536">
        <v>21.926648999957585</v>
      </c>
      <c r="Y27" s="536">
        <v>20.132256102210828</v>
      </c>
      <c r="Z27" s="536">
        <v>18.383207143702219</v>
      </c>
      <c r="AA27" s="536">
        <v>20.497439858880281</v>
      </c>
      <c r="AB27" s="536">
        <v>22.073030369772681</v>
      </c>
      <c r="AC27" s="536">
        <v>24.113653561391267</v>
      </c>
      <c r="AD27" s="536">
        <v>28.430552775701763</v>
      </c>
      <c r="AE27" s="536">
        <v>31.393194078977999</v>
      </c>
      <c r="AF27" s="536">
        <v>32.830075468312501</v>
      </c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>
      <c r="A28" s="17">
        <v>571</v>
      </c>
      <c r="B28" s="17" t="s">
        <v>122</v>
      </c>
      <c r="C28" s="536">
        <v>2.6842090000000001</v>
      </c>
      <c r="D28" s="536">
        <v>2.8633410000000001</v>
      </c>
      <c r="E28" s="536">
        <v>2.8767100000000001</v>
      </c>
      <c r="F28" s="536">
        <v>3.2694990000000002</v>
      </c>
      <c r="G28" s="536">
        <v>3.7426110000000001</v>
      </c>
      <c r="H28" s="536">
        <v>4.0704390000000004</v>
      </c>
      <c r="I28" s="536">
        <v>4.3607339999999999</v>
      </c>
      <c r="J28" s="536">
        <v>4.7788950000000003</v>
      </c>
      <c r="K28" s="536">
        <v>4.8617889999999999</v>
      </c>
      <c r="L28" s="536">
        <v>6.7875959999999997</v>
      </c>
      <c r="M28" s="536">
        <v>7.2890439999999996</v>
      </c>
      <c r="N28" s="536">
        <v>7.7572419195188544</v>
      </c>
      <c r="O28" s="536">
        <v>7.8686314844568459</v>
      </c>
      <c r="P28" s="536">
        <v>7.991606690207754</v>
      </c>
      <c r="Q28" s="536">
        <v>8.1787450869005482</v>
      </c>
      <c r="R28" s="536">
        <v>8.2512254235829303</v>
      </c>
      <c r="S28" s="536">
        <v>8.5633612295842845</v>
      </c>
      <c r="T28" s="536">
        <v>10.703945800379364</v>
      </c>
      <c r="U28" s="536">
        <v>11.295997239252122</v>
      </c>
      <c r="V28" s="536">
        <v>13.108365953446485</v>
      </c>
      <c r="W28" s="536">
        <v>14.396779867616031</v>
      </c>
      <c r="X28" s="536">
        <v>14.033621942614937</v>
      </c>
      <c r="Y28" s="536">
        <v>15.306648343114089</v>
      </c>
      <c r="Z28" s="536">
        <v>15.768782908466605</v>
      </c>
      <c r="AA28" s="536">
        <v>17.424272989890593</v>
      </c>
      <c r="AB28" s="536">
        <v>17.124229126063028</v>
      </c>
      <c r="AC28" s="536">
        <v>18.120735384838618</v>
      </c>
      <c r="AD28" s="536">
        <v>18.664567314412466</v>
      </c>
      <c r="AE28" s="536">
        <v>21.303702938335999</v>
      </c>
      <c r="AF28" s="536">
        <v>17.655326741383099</v>
      </c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>
      <c r="A29" s="17">
        <v>140</v>
      </c>
      <c r="B29" s="17" t="s">
        <v>29</v>
      </c>
      <c r="C29" s="536">
        <v>987.26930000000004</v>
      </c>
      <c r="D29" s="536">
        <v>928.17049999999995</v>
      </c>
      <c r="E29" s="536">
        <v>941.72940000000006</v>
      </c>
      <c r="F29" s="536">
        <v>906.57159999999999</v>
      </c>
      <c r="G29" s="536">
        <v>937.01790000000005</v>
      </c>
      <c r="H29" s="536">
        <v>977.23429999999996</v>
      </c>
      <c r="I29" s="536">
        <v>1097.2570000000001</v>
      </c>
      <c r="J29" s="536">
        <v>1120.6089999999999</v>
      </c>
      <c r="K29" s="536">
        <v>1106.789</v>
      </c>
      <c r="L29" s="536">
        <v>1117.395</v>
      </c>
      <c r="M29" s="536">
        <v>1088.057</v>
      </c>
      <c r="N29" s="6">
        <v>1097.3624679229104</v>
      </c>
      <c r="O29" s="6">
        <v>1091.6334016539095</v>
      </c>
      <c r="P29" s="6">
        <v>1142.1296513321918</v>
      </c>
      <c r="Q29" s="6">
        <v>1205.4175118387839</v>
      </c>
      <c r="R29" s="6">
        <v>1250.1728513208539</v>
      </c>
      <c r="S29" s="6">
        <v>1277.5900578987071</v>
      </c>
      <c r="T29" s="6">
        <v>1319.5583369343656</v>
      </c>
      <c r="U29" s="6">
        <v>1325.6290213850225</v>
      </c>
      <c r="V29" s="6">
        <v>1322.3613111968182</v>
      </c>
      <c r="W29" s="6">
        <v>1373.0322777277854</v>
      </c>
      <c r="X29" s="6">
        <v>1398.7733503951051</v>
      </c>
      <c r="Y29" s="6">
        <v>1441.3960927843964</v>
      </c>
      <c r="Z29" s="6">
        <v>1433.7154328578076</v>
      </c>
      <c r="AA29" s="6">
        <v>1521.3182079613307</v>
      </c>
      <c r="AB29" s="6">
        <v>1578.0822928807559</v>
      </c>
      <c r="AC29" s="6">
        <v>1647.8791490966121</v>
      </c>
      <c r="AD29" s="6">
        <v>1753.0604060099499</v>
      </c>
      <c r="AE29" s="6">
        <v>1829.1582139317695</v>
      </c>
      <c r="AF29" s="6">
        <v>1859.3477517384849</v>
      </c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</row>
    <row r="30" spans="1:48">
      <c r="A30" s="17">
        <v>835</v>
      </c>
      <c r="B30" s="17" t="s">
        <v>174</v>
      </c>
      <c r="C30" s="536">
        <v>18.42249</v>
      </c>
      <c r="D30" s="536">
        <v>14.88836</v>
      </c>
      <c r="E30" s="536">
        <v>15.193390000000001</v>
      </c>
      <c r="F30" s="536">
        <v>15.21424</v>
      </c>
      <c r="G30" s="536">
        <v>15.238989999999999</v>
      </c>
      <c r="H30" s="536">
        <v>14.706770000000001</v>
      </c>
      <c r="I30" s="536">
        <v>14.030099999999999</v>
      </c>
      <c r="J30" s="536">
        <v>14.045870000000001</v>
      </c>
      <c r="K30" s="536">
        <v>13.9526</v>
      </c>
      <c r="L30" s="536">
        <v>13.579190000000001</v>
      </c>
      <c r="M30" s="536">
        <v>13.745329999999999</v>
      </c>
      <c r="N30" s="6">
        <v>14.111270005186602</v>
      </c>
      <c r="O30" s="6">
        <v>13.796139676840316</v>
      </c>
      <c r="P30" s="6">
        <v>13.73457656304654</v>
      </c>
      <c r="Q30" s="6">
        <v>13.881800783021923</v>
      </c>
      <c r="R30" s="6">
        <v>14.23871343259678</v>
      </c>
      <c r="S30" s="6">
        <v>14.720849720025504</v>
      </c>
      <c r="T30" s="6">
        <v>15.344733585044182</v>
      </c>
      <c r="U30" s="6">
        <v>14.1539421860251</v>
      </c>
      <c r="V30" s="6">
        <v>15.084640063195044</v>
      </c>
      <c r="W30" s="6">
        <v>16.10091726322667</v>
      </c>
      <c r="X30" s="6">
        <v>16.714802588552963</v>
      </c>
      <c r="Y30" s="6">
        <v>17.552027118606578</v>
      </c>
      <c r="Z30" s="6">
        <v>18.066698796808339</v>
      </c>
      <c r="AA30" s="6">
        <v>18.422856297160209</v>
      </c>
      <c r="AB30" s="6">
        <v>18.058077543596852</v>
      </c>
      <c r="AC30" s="6">
        <v>19.024137414190371</v>
      </c>
      <c r="AD30" s="6">
        <v>18.377872988276067</v>
      </c>
      <c r="AE30" s="6">
        <v>17.343693434718002</v>
      </c>
      <c r="AF30" s="6">
        <v>17.927782619892</v>
      </c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</row>
    <row r="31" spans="1:48">
      <c r="A31" s="17">
        <v>516</v>
      </c>
      <c r="B31" s="17" t="s">
        <v>108</v>
      </c>
      <c r="C31" s="536">
        <v>1.5911249999999999</v>
      </c>
      <c r="D31" s="536">
        <v>1.76962</v>
      </c>
      <c r="E31" s="536">
        <v>1.7489939999999999</v>
      </c>
      <c r="F31" s="536">
        <v>1.8101069999999999</v>
      </c>
      <c r="G31" s="536">
        <v>1.805947</v>
      </c>
      <c r="H31" s="536">
        <v>2.0341550000000002</v>
      </c>
      <c r="I31" s="536">
        <v>2.1266210000000001</v>
      </c>
      <c r="J31" s="536">
        <v>2.2183290000000002</v>
      </c>
      <c r="K31" s="536">
        <v>2.3950710000000002</v>
      </c>
      <c r="L31" s="536">
        <v>2.3535889999999999</v>
      </c>
      <c r="M31" s="536">
        <v>2.4721880000000001</v>
      </c>
      <c r="N31" s="536">
        <v>2.5923175340328797</v>
      </c>
      <c r="O31" s="536">
        <v>2.6609799923616002</v>
      </c>
      <c r="P31" s="536">
        <v>2.3916029349885002</v>
      </c>
      <c r="Q31" s="536">
        <v>2.3322069558325</v>
      </c>
      <c r="R31" s="536">
        <v>2.1791645570772</v>
      </c>
      <c r="S31" s="536">
        <v>1.9974432127425601</v>
      </c>
      <c r="T31" s="536">
        <v>2.5770386852061598</v>
      </c>
      <c r="U31" s="536">
        <v>2.7373697837893798</v>
      </c>
      <c r="V31" s="536">
        <v>2.69936407169034</v>
      </c>
      <c r="W31" s="536">
        <v>2.6988291067852401</v>
      </c>
      <c r="X31" s="536">
        <v>2.7390542295389597</v>
      </c>
      <c r="Y31" s="536">
        <v>2.8779407494754703</v>
      </c>
      <c r="Z31" s="536">
        <v>2.8334164264469699</v>
      </c>
      <c r="AA31" s="536">
        <v>2.9474075976157299</v>
      </c>
      <c r="AB31" s="536">
        <v>3.00798975437114</v>
      </c>
      <c r="AC31" s="536">
        <v>3.1636318666097498</v>
      </c>
      <c r="AD31" s="536">
        <v>3.2574397618747697</v>
      </c>
      <c r="AE31" s="536">
        <v>3.3776010251276802</v>
      </c>
      <c r="AF31" s="536">
        <v>3.5006754162267302</v>
      </c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>
      <c r="A32" s="17">
        <v>355</v>
      </c>
      <c r="B32" s="17" t="s">
        <v>64</v>
      </c>
      <c r="C32" s="536">
        <v>44.792099999999998</v>
      </c>
      <c r="D32" s="536">
        <v>46.906230000000001</v>
      </c>
      <c r="E32" s="536">
        <v>48.154029999999999</v>
      </c>
      <c r="F32" s="536">
        <v>49.979909999999997</v>
      </c>
      <c r="G32" s="536">
        <v>51.640039999999999</v>
      </c>
      <c r="H32" s="536">
        <v>53.226239999999997</v>
      </c>
      <c r="I32" s="536">
        <v>55.126690000000004</v>
      </c>
      <c r="J32" s="536">
        <v>58.66122</v>
      </c>
      <c r="K32" s="536">
        <v>64.939319999999995</v>
      </c>
      <c r="L32" s="536">
        <v>63.002400000000002</v>
      </c>
      <c r="M32" s="536">
        <v>57.428060000000002</v>
      </c>
      <c r="N32" s="6">
        <v>56.025847714233379</v>
      </c>
      <c r="O32" s="6">
        <v>51.968500262882287</v>
      </c>
      <c r="P32" s="6">
        <v>51.060369149080159</v>
      </c>
      <c r="Q32" s="6">
        <v>51.845565285744698</v>
      </c>
      <c r="R32" s="6">
        <v>53.039074619788231</v>
      </c>
      <c r="S32" s="6">
        <v>47.927026164666444</v>
      </c>
      <c r="T32" s="6">
        <v>45.305850892235064</v>
      </c>
      <c r="U32" s="6">
        <v>46.593843566414023</v>
      </c>
      <c r="V32" s="6">
        <v>47.573975182829962</v>
      </c>
      <c r="W32" s="6">
        <v>50.239019194264301</v>
      </c>
      <c r="X32" s="6">
        <v>52.145844656177971</v>
      </c>
      <c r="Y32" s="6">
        <v>55.318123712938167</v>
      </c>
      <c r="Z32" s="6">
        <v>57.703394129827998</v>
      </c>
      <c r="AA32" s="6">
        <v>60.691432979030168</v>
      </c>
      <c r="AB32" s="6">
        <v>68.452562199577443</v>
      </c>
      <c r="AC32" s="6">
        <v>72.557205588984004</v>
      </c>
      <c r="AD32" s="6">
        <v>77.104632938896088</v>
      </c>
      <c r="AE32" s="6">
        <v>81.286386830954996</v>
      </c>
      <c r="AF32" s="6">
        <v>78.696746015854998</v>
      </c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</row>
    <row r="33" spans="1:48">
      <c r="A33" s="17">
        <v>811</v>
      </c>
      <c r="B33" s="17" t="s">
        <v>169</v>
      </c>
      <c r="C33" s="536">
        <v>3.876652</v>
      </c>
      <c r="D33" s="536">
        <v>3.8746830000000001</v>
      </c>
      <c r="E33" s="536">
        <v>3.8788670000000001</v>
      </c>
      <c r="F33" s="536">
        <v>4.0532519999999996</v>
      </c>
      <c r="G33" s="536">
        <v>4.2618470000000004</v>
      </c>
      <c r="H33" s="536">
        <v>4.4634619999999998</v>
      </c>
      <c r="I33" s="536">
        <v>4.5874509999999997</v>
      </c>
      <c r="J33" s="536">
        <v>5.8774949999999997</v>
      </c>
      <c r="K33" s="536">
        <v>6.8444229999999999</v>
      </c>
      <c r="L33" s="536">
        <v>6.8282870000000004</v>
      </c>
      <c r="M33" s="536">
        <v>6.8945290000000004</v>
      </c>
      <c r="N33" s="536">
        <v>7.3838815958209487</v>
      </c>
      <c r="O33" s="536">
        <v>7.9051299291045591</v>
      </c>
      <c r="P33" s="536">
        <v>9.2616779676266336</v>
      </c>
      <c r="Q33" s="536">
        <v>9.4014860902123729</v>
      </c>
      <c r="R33" s="536">
        <v>9.599786211288631</v>
      </c>
      <c r="S33" s="536">
        <v>9.9676254134850595</v>
      </c>
      <c r="T33" s="536">
        <v>10.541753910761377</v>
      </c>
      <c r="U33" s="536">
        <v>11.114287716328459</v>
      </c>
      <c r="V33" s="536">
        <v>12.422584057049843</v>
      </c>
      <c r="W33" s="536">
        <v>13.198036641439801</v>
      </c>
      <c r="X33" s="536">
        <v>14.291662105181999</v>
      </c>
      <c r="Y33" s="536">
        <v>15.168892053274501</v>
      </c>
      <c r="Z33" s="536">
        <v>16.479902211789</v>
      </c>
      <c r="AA33" s="536">
        <v>18.259731917031001</v>
      </c>
      <c r="AB33" s="536">
        <v>20.744737066608803</v>
      </c>
      <c r="AC33" s="536">
        <v>23.042499273909101</v>
      </c>
      <c r="AD33" s="536">
        <v>24.699547844546998</v>
      </c>
      <c r="AE33" s="536">
        <v>25.761517474704998</v>
      </c>
      <c r="AF33" s="536">
        <v>25.1138276270134</v>
      </c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</row>
    <row r="34" spans="1:48">
      <c r="A34" s="17">
        <v>20</v>
      </c>
      <c r="B34" s="17" t="s">
        <v>1</v>
      </c>
      <c r="C34" s="536">
        <v>583.83609999999999</v>
      </c>
      <c r="D34" s="536">
        <v>597.14480000000003</v>
      </c>
      <c r="E34" s="536">
        <v>582.12620000000004</v>
      </c>
      <c r="F34" s="536">
        <v>600.2029</v>
      </c>
      <c r="G34" s="536">
        <v>633.68269999999995</v>
      </c>
      <c r="H34" s="536">
        <v>663.37009999999998</v>
      </c>
      <c r="I34" s="536">
        <v>681.72360000000003</v>
      </c>
      <c r="J34" s="536">
        <v>710.84199999999998</v>
      </c>
      <c r="K34" s="536">
        <v>743.3741</v>
      </c>
      <c r="L34" s="536">
        <v>764.78560000000004</v>
      </c>
      <c r="M34" s="536">
        <v>768.31619999999998</v>
      </c>
      <c r="N34" s="536">
        <v>753.67304284130466</v>
      </c>
      <c r="O34" s="536">
        <v>763.13165298363731</v>
      </c>
      <c r="P34" s="536">
        <v>783.2643041598518</v>
      </c>
      <c r="Q34" s="536">
        <v>821.32631943975764</v>
      </c>
      <c r="R34" s="536">
        <v>845.02568147657439</v>
      </c>
      <c r="S34" s="536">
        <v>859.47228538274737</v>
      </c>
      <c r="T34" s="536">
        <v>898.63969590900763</v>
      </c>
      <c r="U34" s="536">
        <v>935.77949874229444</v>
      </c>
      <c r="V34" s="536">
        <v>988.20087651732797</v>
      </c>
      <c r="W34" s="536">
        <v>1040.6644136880866</v>
      </c>
      <c r="X34" s="536">
        <v>1057.1034941747978</v>
      </c>
      <c r="Y34" s="536">
        <v>1087.6852222325645</v>
      </c>
      <c r="Z34" s="536">
        <v>1109.390522996199</v>
      </c>
      <c r="AA34" s="536">
        <v>1145.373661722258</v>
      </c>
      <c r="AB34" s="536">
        <v>1180.4540898585569</v>
      </c>
      <c r="AC34" s="536">
        <v>1214.2145608808946</v>
      </c>
      <c r="AD34" s="536">
        <v>1241.7861173234335</v>
      </c>
      <c r="AE34" s="536">
        <v>1246.15342994964</v>
      </c>
      <c r="AF34" s="536">
        <v>1213.3620975405911</v>
      </c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>
      <c r="A35" s="17">
        <v>471</v>
      </c>
      <c r="B35" s="17" t="s">
        <v>98</v>
      </c>
      <c r="C35" s="536">
        <v>17.29758</v>
      </c>
      <c r="D35" s="536">
        <v>19.352620000000002</v>
      </c>
      <c r="E35" s="536">
        <v>20.92727</v>
      </c>
      <c r="F35" s="536">
        <v>22.039899999999999</v>
      </c>
      <c r="G35" s="536">
        <v>23.489059999999998</v>
      </c>
      <c r="H35" s="536">
        <v>25.472560000000001</v>
      </c>
      <c r="I35" s="536">
        <v>27.116530000000001</v>
      </c>
      <c r="J35" s="536">
        <v>26.928750000000001</v>
      </c>
      <c r="K35" s="536">
        <v>24.740369999999999</v>
      </c>
      <c r="L35" s="536">
        <v>24.197849999999999</v>
      </c>
      <c r="M35" s="536">
        <v>22.533829999999998</v>
      </c>
      <c r="N35" s="536">
        <v>21.552330101770394</v>
      </c>
      <c r="O35" s="536">
        <v>21.009680630435376</v>
      </c>
      <c r="P35" s="536">
        <v>21.361814958839695</v>
      </c>
      <c r="Q35" s="536">
        <v>20.533282951549275</v>
      </c>
      <c r="R35" s="536">
        <v>20.956281513777277</v>
      </c>
      <c r="S35" s="536">
        <v>21.678405319862016</v>
      </c>
      <c r="T35" s="536">
        <v>22.822491424787597</v>
      </c>
      <c r="U35" s="536">
        <v>23.916044735666233</v>
      </c>
      <c r="V35" s="536">
        <v>24.899606561515192</v>
      </c>
      <c r="W35" s="536">
        <v>25.919870756055978</v>
      </c>
      <c r="X35" s="536">
        <v>26.986128179201533</v>
      </c>
      <c r="Y35" s="536">
        <v>28.144404222219755</v>
      </c>
      <c r="Z35" s="536">
        <v>29.326169762779266</v>
      </c>
      <c r="AA35" s="536">
        <v>30.350848659411152</v>
      </c>
      <c r="AB35" s="536">
        <v>30.953847132195556</v>
      </c>
      <c r="AC35" s="536">
        <v>31.948702641598462</v>
      </c>
      <c r="AD35" s="536">
        <v>32.985830981618079</v>
      </c>
      <c r="AE35" s="536">
        <v>33.931093757864403</v>
      </c>
      <c r="AF35" s="536">
        <v>34.118171281525797</v>
      </c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>
      <c r="A36" s="17">
        <v>402</v>
      </c>
      <c r="B36" s="17" t="s">
        <v>81</v>
      </c>
      <c r="C36" s="536">
        <v>0.32916380000000001</v>
      </c>
      <c r="D36" s="536">
        <v>0.3591202</v>
      </c>
      <c r="E36" s="536">
        <v>0.38600309999999999</v>
      </c>
      <c r="F36" s="536">
        <v>0.42294860000000001</v>
      </c>
      <c r="G36" s="536">
        <v>0.43636229999999998</v>
      </c>
      <c r="H36" s="536">
        <v>0.47426370000000001</v>
      </c>
      <c r="I36" s="536">
        <v>0.50150410000000001</v>
      </c>
      <c r="J36" s="536">
        <v>0.51196759999999997</v>
      </c>
      <c r="K36" s="536">
        <v>0.52472719999999995</v>
      </c>
      <c r="L36" s="536">
        <v>0.55915959999999998</v>
      </c>
      <c r="M36" s="536">
        <v>0.56415559999999998</v>
      </c>
      <c r="N36" s="536">
        <v>0.55862003869709997</v>
      </c>
      <c r="O36" s="536">
        <v>0.59376573546639999</v>
      </c>
      <c r="P36" s="536">
        <v>0.63779729744879998</v>
      </c>
      <c r="Q36" s="536">
        <v>0.69967152637759988</v>
      </c>
      <c r="R36" s="536">
        <v>0.73553326200199998</v>
      </c>
      <c r="S36" s="536">
        <v>0.78598118550950002</v>
      </c>
      <c r="T36" s="536">
        <v>0.84881277451640003</v>
      </c>
      <c r="U36" s="536">
        <v>0.89772690150500001</v>
      </c>
      <c r="V36" s="536">
        <v>1.0282560849414</v>
      </c>
      <c r="W36" s="536">
        <v>1.0671671359529999</v>
      </c>
      <c r="X36" s="536">
        <v>1.1176936968654001</v>
      </c>
      <c r="Y36" s="536">
        <v>1.2059667122760001</v>
      </c>
      <c r="Z36" s="536">
        <v>1.2433035642300001</v>
      </c>
      <c r="AA36" s="536">
        <v>1.3230826895833001</v>
      </c>
      <c r="AB36" s="536">
        <v>1.3575460522625999</v>
      </c>
      <c r="AC36" s="536">
        <v>1.496730303471</v>
      </c>
      <c r="AD36" s="536">
        <v>1.7002394935434</v>
      </c>
      <c r="AE36" s="536">
        <v>1.7904328383161998</v>
      </c>
      <c r="AF36" s="536">
        <v>1.8890178135378</v>
      </c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>
      <c r="A37" s="17">
        <v>437</v>
      </c>
      <c r="B37" s="17" t="s">
        <v>91</v>
      </c>
      <c r="C37" s="536">
        <v>13.26581</v>
      </c>
      <c r="D37" s="536">
        <v>13.659800000000001</v>
      </c>
      <c r="E37" s="536">
        <v>15.462199999999999</v>
      </c>
      <c r="F37" s="536">
        <v>15.192410000000001</v>
      </c>
      <c r="G37" s="536">
        <v>15.419549999999999</v>
      </c>
      <c r="H37" s="536">
        <v>16.730709999999998</v>
      </c>
      <c r="I37" s="536">
        <v>17.53275</v>
      </c>
      <c r="J37" s="536">
        <v>17.60859</v>
      </c>
      <c r="K37" s="536">
        <v>17.780940000000001</v>
      </c>
      <c r="L37" s="536">
        <v>20.494900000000001</v>
      </c>
      <c r="M37" s="536">
        <v>20.295639999999999</v>
      </c>
      <c r="N37" s="536">
        <v>20.249186676285749</v>
      </c>
      <c r="O37" s="536">
        <v>20.274199647487581</v>
      </c>
      <c r="P37" s="536">
        <v>19.994121047262347</v>
      </c>
      <c r="Q37" s="536">
        <v>20.110069805348839</v>
      </c>
      <c r="R37" s="536">
        <v>21.419518631772196</v>
      </c>
      <c r="S37" s="536">
        <v>23.207973030762673</v>
      </c>
      <c r="T37" s="536">
        <v>23.776525460343347</v>
      </c>
      <c r="U37" s="536">
        <v>24.92091420548212</v>
      </c>
      <c r="V37" s="536">
        <v>25.709947421405907</v>
      </c>
      <c r="W37" s="536">
        <v>25.529776291602108</v>
      </c>
      <c r="X37" s="536">
        <v>24.958039314381207</v>
      </c>
      <c r="Y37" s="536">
        <v>24.325866897341964</v>
      </c>
      <c r="Z37" s="536">
        <v>24.176935342882416</v>
      </c>
      <c r="AA37" s="536">
        <v>24.531638091157276</v>
      </c>
      <c r="AB37" s="536">
        <v>25.137873217248913</v>
      </c>
      <c r="AC37" s="536">
        <v>25.410599152973006</v>
      </c>
      <c r="AD37" s="536">
        <v>25.670412913189594</v>
      </c>
      <c r="AE37" s="536">
        <v>26.166991793392</v>
      </c>
      <c r="AF37" s="536">
        <v>27.712404994618598</v>
      </c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>
      <c r="A38" s="17">
        <v>482</v>
      </c>
      <c r="B38" s="17" t="s">
        <v>101</v>
      </c>
      <c r="C38" s="536">
        <v>2.1116519999999999</v>
      </c>
      <c r="D38" s="536">
        <v>2.0699909999999999</v>
      </c>
      <c r="E38" s="536">
        <v>2.2213120000000002</v>
      </c>
      <c r="F38" s="536">
        <v>2.003482</v>
      </c>
      <c r="G38" s="536">
        <v>2.1952150000000001</v>
      </c>
      <c r="H38" s="536">
        <v>2.2819989999999999</v>
      </c>
      <c r="I38" s="536">
        <v>2.3667310000000001</v>
      </c>
      <c r="J38" s="536">
        <v>2.2483179999999998</v>
      </c>
      <c r="K38" s="536">
        <v>2.2892779999999999</v>
      </c>
      <c r="L38" s="536">
        <v>2.3336790000000001</v>
      </c>
      <c r="M38" s="536">
        <v>2.281822</v>
      </c>
      <c r="N38" s="536">
        <v>2.269856272088516</v>
      </c>
      <c r="O38" s="536">
        <v>2.1946860555611813</v>
      </c>
      <c r="P38" s="536">
        <v>2.1402443313146429</v>
      </c>
      <c r="Q38" s="536">
        <v>2.2294808228140548</v>
      </c>
      <c r="R38" s="536">
        <v>2.3146581616053878</v>
      </c>
      <c r="S38" s="536">
        <v>2.134080090843026</v>
      </c>
      <c r="T38" s="536">
        <v>2.2932038893210049</v>
      </c>
      <c r="U38" s="536">
        <v>2.3854597501338506</v>
      </c>
      <c r="V38" s="536">
        <v>2.4828769513315359</v>
      </c>
      <c r="W38" s="536">
        <v>2.5235836797759998</v>
      </c>
      <c r="X38" s="536">
        <v>2.5362256992334804</v>
      </c>
      <c r="Y38" s="536">
        <v>2.5213634941315197</v>
      </c>
      <c r="Z38" s="536">
        <v>2.3447604833029505</v>
      </c>
      <c r="AA38" s="536">
        <v>2.3703495742783298</v>
      </c>
      <c r="AB38" s="536">
        <v>2.3881827732169101</v>
      </c>
      <c r="AC38" s="536">
        <v>2.4814314143264102</v>
      </c>
      <c r="AD38" s="536">
        <v>2.7942351952889597</v>
      </c>
      <c r="AE38" s="536">
        <v>2.9391792910088701</v>
      </c>
      <c r="AF38" s="536">
        <v>3.0690615077482</v>
      </c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>
      <c r="A39" s="17">
        <v>483</v>
      </c>
      <c r="B39" s="17" t="s">
        <v>102</v>
      </c>
      <c r="C39" s="536">
        <v>2.6511209999999998</v>
      </c>
      <c r="D39" s="536">
        <v>2.6779350000000002</v>
      </c>
      <c r="E39" s="536">
        <v>2.8218760000000001</v>
      </c>
      <c r="F39" s="536">
        <v>3.263614</v>
      </c>
      <c r="G39" s="536">
        <v>3.3322370000000001</v>
      </c>
      <c r="H39" s="536">
        <v>4.062074</v>
      </c>
      <c r="I39" s="536">
        <v>3.894326</v>
      </c>
      <c r="J39" s="536">
        <v>3.8029000000000002</v>
      </c>
      <c r="K39" s="536">
        <v>4.3827720000000001</v>
      </c>
      <c r="L39" s="536">
        <v>4.5682330000000002</v>
      </c>
      <c r="M39" s="536">
        <v>4.3931610000000001</v>
      </c>
      <c r="N39" s="6">
        <v>4.7531503320131225</v>
      </c>
      <c r="O39" s="6">
        <v>5.1102167567518713</v>
      </c>
      <c r="P39" s="6">
        <v>5.1140500004234362</v>
      </c>
      <c r="Q39" s="6">
        <v>5.2779649149842003</v>
      </c>
      <c r="R39" s="6">
        <v>5.467019404214736</v>
      </c>
      <c r="S39" s="6">
        <v>5.0992010271524295</v>
      </c>
      <c r="T39" s="6">
        <v>5.3982475556744731</v>
      </c>
      <c r="U39" s="6">
        <v>5.8170096481314078</v>
      </c>
      <c r="V39" s="6">
        <v>5.836703840059859</v>
      </c>
      <c r="W39" s="6">
        <v>5.8293209730818241</v>
      </c>
      <c r="X39" s="6">
        <v>6.2857160516778574</v>
      </c>
      <c r="Y39" s="6">
        <v>6.8894931742193366</v>
      </c>
      <c r="Z39" s="6">
        <v>7.912114674572007</v>
      </c>
      <c r="AA39" s="6">
        <v>11.255334040330528</v>
      </c>
      <c r="AB39" s="6">
        <v>12.157670474424794</v>
      </c>
      <c r="AC39" s="6">
        <v>12.225088364849521</v>
      </c>
      <c r="AD39" s="6">
        <v>12.027884769774442</v>
      </c>
      <c r="AE39" s="6">
        <v>12.009661550280299</v>
      </c>
      <c r="AF39" s="6">
        <v>13.1784173296842</v>
      </c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>
      <c r="A40" s="17">
        <v>155</v>
      </c>
      <c r="B40" s="17" t="s">
        <v>32</v>
      </c>
      <c r="C40" s="536">
        <v>56.806750000000001</v>
      </c>
      <c r="D40" s="536">
        <v>60.105429999999998</v>
      </c>
      <c r="E40" s="536">
        <v>51.068539999999999</v>
      </c>
      <c r="F40" s="536">
        <v>49.250639999999997</v>
      </c>
      <c r="G40" s="536">
        <v>52.43683</v>
      </c>
      <c r="H40" s="536">
        <v>53.150669999999998</v>
      </c>
      <c r="I40" s="536">
        <v>56.070369999999997</v>
      </c>
      <c r="J40" s="536">
        <v>59.720599999999997</v>
      </c>
      <c r="K40" s="536">
        <v>64.230289999999997</v>
      </c>
      <c r="L40" s="536">
        <v>71.461240000000004</v>
      </c>
      <c r="M40" s="536">
        <v>74.189130000000006</v>
      </c>
      <c r="N40" s="536">
        <v>80.020285971529518</v>
      </c>
      <c r="O40" s="536">
        <v>90.188628543155446</v>
      </c>
      <c r="P40" s="536">
        <v>96.701287100968202</v>
      </c>
      <c r="Q40" s="536">
        <v>102.81679351559079</v>
      </c>
      <c r="R40" s="536">
        <v>114.64613450793644</v>
      </c>
      <c r="S40" s="536">
        <v>123.85323710576806</v>
      </c>
      <c r="T40" s="536">
        <v>132.65458963885462</v>
      </c>
      <c r="U40" s="536">
        <v>137.15376920225609</v>
      </c>
      <c r="V40" s="536">
        <v>136.83355118980924</v>
      </c>
      <c r="W40" s="536">
        <v>143.2344830254014</v>
      </c>
      <c r="X40" s="536">
        <v>148.61364383277422</v>
      </c>
      <c r="Y40" s="536">
        <v>151.79838872807392</v>
      </c>
      <c r="Z40" s="536">
        <v>158.00158313135179</v>
      </c>
      <c r="AA40" s="536">
        <v>168.87135812477666</v>
      </c>
      <c r="AB40" s="536">
        <v>179.45246748055357</v>
      </c>
      <c r="AC40" s="536">
        <v>188.08150649820269</v>
      </c>
      <c r="AD40" s="536">
        <v>197.85408731196463</v>
      </c>
      <c r="AE40" s="536">
        <v>206.90622810609202</v>
      </c>
      <c r="AF40" s="536">
        <v>199.33394012080203</v>
      </c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>
      <c r="A41" s="17">
        <v>710</v>
      </c>
      <c r="B41" s="17" t="s">
        <v>154</v>
      </c>
      <c r="C41" s="536">
        <v>630.51840000000004</v>
      </c>
      <c r="D41" s="536">
        <v>675.64599999999996</v>
      </c>
      <c r="E41" s="536">
        <v>754.19209999999998</v>
      </c>
      <c r="F41" s="536">
        <v>824.82150000000001</v>
      </c>
      <c r="G41" s="536">
        <v>930.01400000000001</v>
      </c>
      <c r="H41" s="536">
        <v>1044.731</v>
      </c>
      <c r="I41" s="536">
        <v>1122.876</v>
      </c>
      <c r="J41" s="536">
        <v>1235.9549999999999</v>
      </c>
      <c r="K41" s="536">
        <v>1334.7729999999999</v>
      </c>
      <c r="L41" s="536">
        <v>1365.633</v>
      </c>
      <c r="M41" s="536">
        <v>1450.1020000000001</v>
      </c>
      <c r="N41" s="536">
        <v>1577.0596187039946</v>
      </c>
      <c r="O41" s="536">
        <v>1767.3735350451775</v>
      </c>
      <c r="P41" s="536">
        <v>2117.5823721479505</v>
      </c>
      <c r="Q41" s="536">
        <v>2354.1457935945946</v>
      </c>
      <c r="R41" s="536">
        <v>2586.5154616133082</v>
      </c>
      <c r="S41" s="536">
        <v>2834.2547667136823</v>
      </c>
      <c r="T41" s="536">
        <v>2950.3954852244669</v>
      </c>
      <c r="U41" s="536">
        <v>3163.755665184422</v>
      </c>
      <c r="V41" s="536">
        <v>3417.7823045251157</v>
      </c>
      <c r="W41" s="536">
        <v>3649.7839803910283</v>
      </c>
      <c r="X41" s="536">
        <v>3965.2256840403843</v>
      </c>
      <c r="Y41" s="536">
        <v>4357.5293575366732</v>
      </c>
      <c r="Z41" s="536">
        <v>4851.4233266747497</v>
      </c>
      <c r="AA41" s="536">
        <v>5407.836025499244</v>
      </c>
      <c r="AB41" s="536">
        <v>6145.9743955658278</v>
      </c>
      <c r="AC41" s="536">
        <v>6847.3604511641915</v>
      </c>
      <c r="AD41" s="536">
        <v>7719.0457237956216</v>
      </c>
      <c r="AE41" s="536">
        <v>8448.5299167782869</v>
      </c>
      <c r="AF41" s="536">
        <v>9275.9633401397914</v>
      </c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</row>
    <row r="42" spans="1:48">
      <c r="A42" s="17">
        <v>100</v>
      </c>
      <c r="B42" s="17" t="s">
        <v>23</v>
      </c>
      <c r="C42" s="536">
        <v>112.4821</v>
      </c>
      <c r="D42" s="536">
        <v>115.937</v>
      </c>
      <c r="E42" s="536">
        <v>117.6379</v>
      </c>
      <c r="F42" s="536">
        <v>118.65300000000001</v>
      </c>
      <c r="G42" s="536">
        <v>121.61450000000001</v>
      </c>
      <c r="H42" s="536">
        <v>123.9443</v>
      </c>
      <c r="I42" s="536">
        <v>130.50049999999999</v>
      </c>
      <c r="J42" s="536">
        <v>137.3999</v>
      </c>
      <c r="K42" s="536">
        <v>143.20339999999999</v>
      </c>
      <c r="L42" s="536">
        <v>146.98849999999999</v>
      </c>
      <c r="M42" s="536">
        <v>152.6857</v>
      </c>
      <c r="N42" s="536">
        <v>154.88510704379044</v>
      </c>
      <c r="O42" s="536">
        <v>164.55324256728079</v>
      </c>
      <c r="P42" s="536">
        <v>173.98789755448965</v>
      </c>
      <c r="Q42" s="536">
        <v>182.48262968990414</v>
      </c>
      <c r="R42" s="536">
        <v>191.83847079130507</v>
      </c>
      <c r="S42" s="536">
        <v>193.66579615067235</v>
      </c>
      <c r="T42" s="536">
        <v>233.60781897176781</v>
      </c>
      <c r="U42" s="536">
        <v>233.71874416702877</v>
      </c>
      <c r="V42" s="536">
        <v>219.30210415767925</v>
      </c>
      <c r="W42" s="536">
        <v>226.48175230983898</v>
      </c>
      <c r="X42" s="536">
        <v>231.64962070199039</v>
      </c>
      <c r="Y42" s="536">
        <v>237.10416114498801</v>
      </c>
      <c r="Z42" s="536">
        <v>248.32773882373942</v>
      </c>
      <c r="AA42" s="536">
        <v>260.5674489582164</v>
      </c>
      <c r="AB42" s="536">
        <v>276.39568748841765</v>
      </c>
      <c r="AC42" s="536">
        <v>297.17248661778342</v>
      </c>
      <c r="AD42" s="536">
        <v>320.42219444355692</v>
      </c>
      <c r="AE42" s="536">
        <v>329.66901179643833</v>
      </c>
      <c r="AF42" s="536">
        <v>328.78683353679298</v>
      </c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</row>
    <row r="43" spans="1:48">
      <c r="A43" s="17">
        <v>581</v>
      </c>
      <c r="B43" s="17" t="s">
        <v>125</v>
      </c>
      <c r="C43" s="536">
        <v>0.46483010000000002</v>
      </c>
      <c r="D43" s="536">
        <v>0.47359820000000002</v>
      </c>
      <c r="E43" s="536">
        <v>0.50626899999999997</v>
      </c>
      <c r="F43" s="536">
        <v>0.52669889999999997</v>
      </c>
      <c r="G43" s="536">
        <v>0.56274840000000004</v>
      </c>
      <c r="H43" s="536">
        <v>0.55786930000000001</v>
      </c>
      <c r="I43" s="536">
        <v>0.55968439999999997</v>
      </c>
      <c r="J43" s="536">
        <v>0.56772889999999998</v>
      </c>
      <c r="K43" s="536">
        <v>0.57665509999999998</v>
      </c>
      <c r="L43" s="536">
        <v>0.56172789999999995</v>
      </c>
      <c r="M43" s="536">
        <v>0.56026580000000004</v>
      </c>
      <c r="N43" s="536">
        <v>0.55606129486273304</v>
      </c>
      <c r="O43" s="536">
        <v>0.58392250907732246</v>
      </c>
      <c r="P43" s="536">
        <v>0.58965876563045283</v>
      </c>
      <c r="Q43" s="536">
        <v>0.56068951845108539</v>
      </c>
      <c r="R43" s="536">
        <v>0.58113293652803044</v>
      </c>
      <c r="S43" s="536">
        <v>0.56379020711840711</v>
      </c>
      <c r="T43" s="536">
        <v>0.57133496981723109</v>
      </c>
      <c r="U43" s="536">
        <v>0.578377981045194</v>
      </c>
      <c r="V43" s="536">
        <v>0.58433400321732032</v>
      </c>
      <c r="W43" s="536">
        <v>0.56642887589199409</v>
      </c>
      <c r="X43" s="536">
        <v>0.59820755417489702</v>
      </c>
      <c r="Y43" s="536">
        <v>0.62259571762168198</v>
      </c>
      <c r="Z43" s="536">
        <v>0.62608947411562821</v>
      </c>
      <c r="AA43" s="536">
        <v>0.6194727085487387</v>
      </c>
      <c r="AB43" s="536">
        <v>0.64519158101051366</v>
      </c>
      <c r="AC43" s="536">
        <v>0.65646670719557876</v>
      </c>
      <c r="AD43" s="536">
        <v>0.65999190057317358</v>
      </c>
      <c r="AE43" s="536">
        <v>0.67819131634223995</v>
      </c>
      <c r="AF43" s="536">
        <v>0.68784736314495998</v>
      </c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>
      <c r="A44" s="17">
        <v>484</v>
      </c>
      <c r="B44" s="17" t="s">
        <v>103</v>
      </c>
      <c r="C44" s="536">
        <v>2.9368430000000001</v>
      </c>
      <c r="D44" s="536">
        <v>3.1916410000000002</v>
      </c>
      <c r="E44" s="536">
        <v>3.784538</v>
      </c>
      <c r="F44" s="536">
        <v>4.4753150000000002</v>
      </c>
      <c r="G44" s="536">
        <v>4.9371919999999996</v>
      </c>
      <c r="H44" s="536">
        <v>4.7572380000000001</v>
      </c>
      <c r="I44" s="536">
        <v>4.6199700000000004</v>
      </c>
      <c r="J44" s="536">
        <v>4.7542280000000003</v>
      </c>
      <c r="K44" s="536">
        <v>5.06813</v>
      </c>
      <c r="L44" s="536">
        <v>5.3462129999999997</v>
      </c>
      <c r="M44" s="536">
        <v>5.5392939999999999</v>
      </c>
      <c r="N44" s="536">
        <v>5.1914315526571917</v>
      </c>
      <c r="O44" s="536">
        <v>5.4302490684289513</v>
      </c>
      <c r="P44" s="536">
        <v>5.3326907680422666</v>
      </c>
      <c r="Q44" s="536">
        <v>5.0553777686935426</v>
      </c>
      <c r="R44" s="536">
        <v>5.7793090452478388</v>
      </c>
      <c r="S44" s="536">
        <v>6.0424267024389691</v>
      </c>
      <c r="T44" s="536">
        <v>6.2938194674316579</v>
      </c>
      <c r="U44" s="536">
        <v>6.7719480130133993</v>
      </c>
      <c r="V44" s="536">
        <v>6.7344440767258771</v>
      </c>
      <c r="W44" s="536">
        <v>7.0978878445547045</v>
      </c>
      <c r="X44" s="536">
        <v>7.0620849672621864</v>
      </c>
      <c r="Y44" s="536">
        <v>7.1884116593152996</v>
      </c>
      <c r="Z44" s="536">
        <v>7.0672767410447452</v>
      </c>
      <c r="AA44" s="536">
        <v>7.3178775143873267</v>
      </c>
      <c r="AB44" s="536">
        <v>7.8866342537101559</v>
      </c>
      <c r="AC44" s="536">
        <v>8.1172520214277259</v>
      </c>
      <c r="AD44" s="536">
        <v>7.2734359023531399</v>
      </c>
      <c r="AE44" s="536">
        <v>7.8088821566524995</v>
      </c>
      <c r="AF44" s="536">
        <v>8.9211618559143009</v>
      </c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>
      <c r="A45" s="17">
        <v>94</v>
      </c>
      <c r="B45" s="17" t="s">
        <v>21</v>
      </c>
      <c r="C45" s="536">
        <v>19.406849999999999</v>
      </c>
      <c r="D45" s="536">
        <v>18.27863</v>
      </c>
      <c r="E45" s="536">
        <v>16.95082</v>
      </c>
      <c r="F45" s="536">
        <v>17.457889999999999</v>
      </c>
      <c r="G45" s="536">
        <v>18.65222</v>
      </c>
      <c r="H45" s="536">
        <v>19.035620000000002</v>
      </c>
      <c r="I45" s="536">
        <v>20.066770000000002</v>
      </c>
      <c r="J45" s="536">
        <v>20.60472</v>
      </c>
      <c r="K45" s="536">
        <v>21.12595</v>
      </c>
      <c r="L45" s="536">
        <v>21.991630000000001</v>
      </c>
      <c r="M45" s="536">
        <v>22.642520000000001</v>
      </c>
      <c r="N45" s="536">
        <v>22.621591894305901</v>
      </c>
      <c r="O45" s="536">
        <v>24.471210481660801</v>
      </c>
      <c r="P45" s="536">
        <v>26.2153202637055</v>
      </c>
      <c r="Q45" s="536">
        <v>27.3720401769123</v>
      </c>
      <c r="R45" s="536">
        <v>28.2180750380295</v>
      </c>
      <c r="S45" s="536">
        <v>28.352753805147202</v>
      </c>
      <c r="T45" s="536">
        <v>29.8951360284</v>
      </c>
      <c r="U45" s="536">
        <v>31.989525270385201</v>
      </c>
      <c r="V45" s="536">
        <v>34.114070949600006</v>
      </c>
      <c r="W45" s="536">
        <v>34.752462061118997</v>
      </c>
      <c r="X45" s="536">
        <v>35.482186773627198</v>
      </c>
      <c r="Y45" s="536">
        <v>36.490161000654695</v>
      </c>
      <c r="Z45" s="536">
        <v>38.429128396853997</v>
      </c>
      <c r="AA45" s="536">
        <v>39.907215287796994</v>
      </c>
      <c r="AB45" s="536">
        <v>41.875613950703702</v>
      </c>
      <c r="AC45" s="536">
        <v>45.231127946969998</v>
      </c>
      <c r="AD45" s="536">
        <v>48.574894023733997</v>
      </c>
      <c r="AE45" s="536">
        <v>50.102634717132005</v>
      </c>
      <c r="AF45" s="536">
        <v>50.017841305245007</v>
      </c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>
      <c r="A46" s="17">
        <v>344</v>
      </c>
      <c r="B46" s="17" t="s">
        <v>58</v>
      </c>
      <c r="C46" s="536"/>
      <c r="D46" s="536"/>
      <c r="E46" s="536"/>
      <c r="F46" s="536"/>
      <c r="G46" s="536"/>
      <c r="H46" s="536"/>
      <c r="I46" s="536"/>
      <c r="J46" s="536"/>
      <c r="K46" s="536"/>
      <c r="L46" s="536"/>
      <c r="M46" s="536">
        <v>48.983910000000002</v>
      </c>
      <c r="N46" s="536">
        <v>40.352165873841706</v>
      </c>
      <c r="O46" s="536">
        <v>34.817631080429024</v>
      </c>
      <c r="P46" s="536">
        <v>31.946155133812216</v>
      </c>
      <c r="Q46" s="536">
        <v>33.498393962893317</v>
      </c>
      <c r="R46" s="536">
        <v>35.797113264174648</v>
      </c>
      <c r="S46" s="536">
        <v>38.276450459146957</v>
      </c>
      <c r="T46" s="536">
        <v>41.198601702469347</v>
      </c>
      <c r="U46" s="536">
        <v>42.078950485212651</v>
      </c>
      <c r="V46" s="536">
        <v>41.612380944527487</v>
      </c>
      <c r="W46" s="536">
        <v>42.780433580837453</v>
      </c>
      <c r="X46" s="536">
        <v>44.876583979846707</v>
      </c>
      <c r="Y46" s="536">
        <v>47.424742428744537</v>
      </c>
      <c r="Z46" s="536">
        <v>49.64610579905262</v>
      </c>
      <c r="AA46" s="536">
        <v>51.554895084216419</v>
      </c>
      <c r="AB46" s="536">
        <v>63.439306605230307</v>
      </c>
      <c r="AC46" s="536">
        <v>66.610639905928423</v>
      </c>
      <c r="AD46" s="536">
        <v>70.18687249640243</v>
      </c>
      <c r="AE46" s="536">
        <v>71.806606420796001</v>
      </c>
      <c r="AF46" s="536">
        <v>67.710498251169994</v>
      </c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>
      <c r="A47" s="17">
        <v>40</v>
      </c>
      <c r="B47" s="17" t="s">
        <v>3</v>
      </c>
      <c r="C47" s="536">
        <v>71.885019999999997</v>
      </c>
      <c r="D47" s="536">
        <v>85.947969999999998</v>
      </c>
      <c r="E47" s="536">
        <v>94.023669999999996</v>
      </c>
      <c r="F47" s="536">
        <v>99.331599999999995</v>
      </c>
      <c r="G47" s="536">
        <v>107.4603</v>
      </c>
      <c r="H47" s="536">
        <v>106.3486</v>
      </c>
      <c r="I47" s="536">
        <v>107.8925</v>
      </c>
      <c r="J47" s="536">
        <v>108.6387</v>
      </c>
      <c r="K47" s="536">
        <v>111.599</v>
      </c>
      <c r="L47" s="536">
        <v>112.6953</v>
      </c>
      <c r="M47" s="536">
        <v>106.9151</v>
      </c>
      <c r="N47" s="536">
        <v>98.760455826160992</v>
      </c>
      <c r="O47" s="536">
        <v>86.028339176810803</v>
      </c>
      <c r="P47" s="536">
        <v>76.379826411500801</v>
      </c>
      <c r="Q47" s="536">
        <v>78.811767299321801</v>
      </c>
      <c r="R47" s="536">
        <v>79.43204407675411</v>
      </c>
      <c r="S47" s="536">
        <v>82.648792435985499</v>
      </c>
      <c r="T47" s="536">
        <v>82.721317055836792</v>
      </c>
      <c r="U47" s="536">
        <v>84.397053778485599</v>
      </c>
      <c r="V47" s="536">
        <v>87.954597624394594</v>
      </c>
      <c r="W47" s="536">
        <v>92.72736718147101</v>
      </c>
      <c r="X47" s="536">
        <v>96.106577707580811</v>
      </c>
      <c r="Y47" s="536">
        <v>98.571414533372007</v>
      </c>
      <c r="Z47" s="536">
        <v>103.8518195672126</v>
      </c>
      <c r="AA47" s="536">
        <v>106.909169436026</v>
      </c>
      <c r="AB47" s="536">
        <v>102.26791600534521</v>
      </c>
      <c r="AC47" s="536">
        <v>114.18421513823999</v>
      </c>
      <c r="AD47" s="536">
        <v>122.265036423</v>
      </c>
      <c r="AE47" s="536">
        <v>123.95988718217998</v>
      </c>
      <c r="AF47" s="536">
        <v>127.96034426362</v>
      </c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>
      <c r="A48" s="17">
        <v>352</v>
      </c>
      <c r="B48" s="17" t="s">
        <v>63</v>
      </c>
      <c r="C48" s="536">
        <v>5.5563799999999999</v>
      </c>
      <c r="D48" s="536">
        <v>5.6822540000000004</v>
      </c>
      <c r="E48" s="536">
        <v>5.9984159999999997</v>
      </c>
      <c r="F48" s="536">
        <v>6.3429960000000003</v>
      </c>
      <c r="G48" s="536">
        <v>6.8904389999999998</v>
      </c>
      <c r="H48" s="536">
        <v>7.1636100000000003</v>
      </c>
      <c r="I48" s="536">
        <v>7.3445359999999997</v>
      </c>
      <c r="J48" s="536">
        <v>7.9932730000000003</v>
      </c>
      <c r="K48" s="536">
        <v>8.9065899999999996</v>
      </c>
      <c r="L48" s="536">
        <v>9.648479</v>
      </c>
      <c r="M48" s="536">
        <v>10.32016</v>
      </c>
      <c r="N48" s="6">
        <v>10.435097024854</v>
      </c>
      <c r="O48" s="6">
        <v>11.364346571892002</v>
      </c>
      <c r="P48" s="6">
        <v>11.181241644299998</v>
      </c>
      <c r="Q48" s="6">
        <v>11.903391332409001</v>
      </c>
      <c r="R48" s="6">
        <v>13.160627472299998</v>
      </c>
      <c r="S48" s="6">
        <v>13.418432772768</v>
      </c>
      <c r="T48" s="6">
        <v>13.66766715688</v>
      </c>
      <c r="U48" s="6">
        <v>14.363896102932001</v>
      </c>
      <c r="V48" s="6">
        <v>15.002557593775</v>
      </c>
      <c r="W48" s="6">
        <v>15.842067528560001</v>
      </c>
      <c r="X48" s="6">
        <v>16.413325854558</v>
      </c>
      <c r="Y48" s="6">
        <v>16.765892845570001</v>
      </c>
      <c r="Z48" s="6">
        <v>17.049178074389999</v>
      </c>
      <c r="AA48" s="6">
        <v>17.889129496580999</v>
      </c>
      <c r="AB48" s="6">
        <v>18.580986852174004</v>
      </c>
      <c r="AC48" s="6">
        <v>19.341878196498996</v>
      </c>
      <c r="AD48" s="6">
        <v>20.416857992244999</v>
      </c>
      <c r="AE48" s="6">
        <v>21.183122994450997</v>
      </c>
      <c r="AF48" s="6">
        <v>20.612300436454998</v>
      </c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>
      <c r="A49" s="17">
        <v>316</v>
      </c>
      <c r="B49" s="17" t="s">
        <v>51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536">
        <v>169.65690000000001</v>
      </c>
      <c r="N49" s="536">
        <v>143.96586381825549</v>
      </c>
      <c r="O49" s="536">
        <v>142.02004506345762</v>
      </c>
      <c r="P49" s="536">
        <v>145.17208256659282</v>
      </c>
      <c r="Q49" s="536">
        <v>150.4177671320567</v>
      </c>
      <c r="R49" s="536">
        <v>158.68810494317188</v>
      </c>
      <c r="S49" s="536">
        <v>167.07182818335281</v>
      </c>
      <c r="T49" s="536">
        <v>166.71972224507053</v>
      </c>
      <c r="U49" s="536">
        <v>165.81923860389318</v>
      </c>
      <c r="V49" s="536">
        <v>168.55943543086221</v>
      </c>
      <c r="W49" s="536">
        <v>173.89431376736232</v>
      </c>
      <c r="X49" s="536">
        <v>179.40516469982489</v>
      </c>
      <c r="Y49" s="536">
        <v>183.80481592657989</v>
      </c>
      <c r="Z49" s="536">
        <v>191.21084225069185</v>
      </c>
      <c r="AA49" s="536">
        <v>200.4811852004367</v>
      </c>
      <c r="AB49" s="536">
        <v>211.95059639024254</v>
      </c>
      <c r="AC49" s="536">
        <v>226.25187840342869</v>
      </c>
      <c r="AD49" s="536">
        <v>240.56792049086766</v>
      </c>
      <c r="AE49" s="536">
        <v>245.932588873203</v>
      </c>
      <c r="AF49" s="536">
        <v>235.48306371616798</v>
      </c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>
      <c r="A50" s="17">
        <v>390</v>
      </c>
      <c r="B50" s="17" t="s">
        <v>79</v>
      </c>
      <c r="C50" s="536">
        <v>109.4021</v>
      </c>
      <c r="D50" s="536">
        <v>108.7971</v>
      </c>
      <c r="E50" s="536">
        <v>112.6435</v>
      </c>
      <c r="F50" s="536">
        <v>115.3129</v>
      </c>
      <c r="G50" s="536">
        <v>120.126</v>
      </c>
      <c r="H50" s="536">
        <v>125.53570000000001</v>
      </c>
      <c r="I50" s="536">
        <v>132.54990000000001</v>
      </c>
      <c r="J50" s="536">
        <v>132.62710000000001</v>
      </c>
      <c r="K50" s="536">
        <v>132.4494</v>
      </c>
      <c r="L50" s="536">
        <v>133.39189999999999</v>
      </c>
      <c r="M50" s="536">
        <v>135.2285</v>
      </c>
      <c r="N50" s="536">
        <v>136.93248255538003</v>
      </c>
      <c r="O50" s="536">
        <v>139.5533504636297</v>
      </c>
      <c r="P50" s="536">
        <v>139.18693349199475</v>
      </c>
      <c r="Q50" s="536">
        <v>147.24285875883359</v>
      </c>
      <c r="R50" s="536">
        <v>152.15175307852118</v>
      </c>
      <c r="S50" s="536">
        <v>156.42657993411538</v>
      </c>
      <c r="T50" s="536">
        <v>161.93270705647058</v>
      </c>
      <c r="U50" s="536">
        <v>165.81277206307783</v>
      </c>
      <c r="V50" s="536">
        <v>169.92741204605903</v>
      </c>
      <c r="W50" s="536">
        <v>176.73901328254939</v>
      </c>
      <c r="X50" s="536">
        <v>177.80756283912331</v>
      </c>
      <c r="Y50" s="536">
        <v>178.85523173053915</v>
      </c>
      <c r="Z50" s="536">
        <v>179.43253258697948</v>
      </c>
      <c r="AA50" s="536">
        <v>183.31512058010796</v>
      </c>
      <c r="AB50" s="536">
        <v>188.50240383995308</v>
      </c>
      <c r="AC50" s="536">
        <v>195.5287590887354</v>
      </c>
      <c r="AD50" s="536">
        <v>198.68824802125573</v>
      </c>
      <c r="AE50" s="536">
        <v>196.78114020448501</v>
      </c>
      <c r="AF50" s="536">
        <v>186.64419185117501</v>
      </c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>
      <c r="A51" s="17">
        <v>522</v>
      </c>
      <c r="B51" s="17" t="s">
        <v>111</v>
      </c>
      <c r="C51" s="536">
        <v>1.0552729999999999</v>
      </c>
      <c r="D51" s="536">
        <v>1.0832010000000001</v>
      </c>
      <c r="E51" s="536">
        <v>1.1130679999999999</v>
      </c>
      <c r="F51" s="536">
        <v>1.117515</v>
      </c>
      <c r="G51" s="536">
        <v>1.163678</v>
      </c>
      <c r="H51" s="536">
        <v>1.1798900000000001</v>
      </c>
      <c r="I51" s="536">
        <v>1.1499280000000001</v>
      </c>
      <c r="J51" s="536">
        <v>1.1466829999999999</v>
      </c>
      <c r="K51" s="536">
        <v>1.1434880000000001</v>
      </c>
      <c r="L51" s="536">
        <v>1.114881</v>
      </c>
      <c r="M51" s="536">
        <v>1.250928</v>
      </c>
      <c r="N51" s="536">
        <v>1.2505917715320001</v>
      </c>
      <c r="O51" s="536">
        <v>1.2636880102723</v>
      </c>
      <c r="P51" s="536">
        <v>1.3096822861272002</v>
      </c>
      <c r="Q51" s="536">
        <v>1.3090212678778002</v>
      </c>
      <c r="R51" s="536">
        <v>1.3375288472895999</v>
      </c>
      <c r="S51" s="536">
        <v>1.2711459775687999</v>
      </c>
      <c r="T51" s="536">
        <v>1.1802171509024</v>
      </c>
      <c r="U51" s="536">
        <v>1.1614681665648001</v>
      </c>
      <c r="V51" s="536">
        <v>1.2955094646248961</v>
      </c>
      <c r="W51" s="536">
        <v>1.3028672544656998</v>
      </c>
      <c r="X51" s="536">
        <v>1.3345787151774</v>
      </c>
      <c r="Y51" s="536">
        <v>1.3665102920899999</v>
      </c>
      <c r="Z51" s="536">
        <v>1.3911857590244001</v>
      </c>
      <c r="AA51" s="536">
        <v>1.4296416097419</v>
      </c>
      <c r="AB51" s="536">
        <v>1.4638605121619999</v>
      </c>
      <c r="AC51" s="536">
        <v>1.4969256313977</v>
      </c>
      <c r="AD51" s="536">
        <v>1.5015263545196</v>
      </c>
      <c r="AE51" s="536">
        <v>1.5587066834255483</v>
      </c>
      <c r="AF51" s="536">
        <v>1.6887773119697618</v>
      </c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>
      <c r="A52" s="17">
        <v>54</v>
      </c>
      <c r="B52" s="17" t="s">
        <v>9</v>
      </c>
      <c r="C52" s="536">
        <v>0.1790378</v>
      </c>
      <c r="D52" s="536">
        <v>0.1996937</v>
      </c>
      <c r="E52" s="536">
        <v>0.20811080000000001</v>
      </c>
      <c r="F52" s="536">
        <v>0.21396370000000001</v>
      </c>
      <c r="G52" s="536">
        <v>0.2259736</v>
      </c>
      <c r="H52" s="536">
        <v>0.2266473</v>
      </c>
      <c r="I52" s="536">
        <v>0.24166770000000001</v>
      </c>
      <c r="J52" s="536">
        <v>0.2592757</v>
      </c>
      <c r="K52" s="536">
        <v>0.28073389999999998</v>
      </c>
      <c r="L52" s="536">
        <v>0.28056110000000001</v>
      </c>
      <c r="M52" s="536">
        <v>0.29608459999999998</v>
      </c>
      <c r="N52" s="536">
        <v>0.29496383963156547</v>
      </c>
      <c r="O52" s="536">
        <v>0.30734183087594225</v>
      </c>
      <c r="P52" s="536">
        <v>0.30749140289608173</v>
      </c>
      <c r="Q52" s="536">
        <v>0.31072858031591638</v>
      </c>
      <c r="R52" s="536">
        <v>0.3185221868617551</v>
      </c>
      <c r="S52" s="536">
        <v>0.32925989014971274</v>
      </c>
      <c r="T52" s="536">
        <v>0.33847550799838921</v>
      </c>
      <c r="U52" s="536">
        <v>0.35053556415881276</v>
      </c>
      <c r="V52" s="536">
        <v>0.35365867091584241</v>
      </c>
      <c r="W52" s="536">
        <v>0.35564859733688337</v>
      </c>
      <c r="X52" s="536">
        <v>0.3212136564654744</v>
      </c>
      <c r="Y52" s="536">
        <v>0.30813463285560683</v>
      </c>
      <c r="Z52" s="536">
        <v>0.30160888473724579</v>
      </c>
      <c r="AA52" s="536">
        <v>0.32792944669151941</v>
      </c>
      <c r="AB52" s="536">
        <v>0.36265458789294996</v>
      </c>
      <c r="AC52" s="536">
        <v>0.38527690847573548</v>
      </c>
      <c r="AD52" s="536">
        <v>0.40428241844128876</v>
      </c>
      <c r="AE52" s="536">
        <v>0.41330345960420001</v>
      </c>
      <c r="AF52" s="536">
        <v>0.476542458066612</v>
      </c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>
      <c r="A53" s="17">
        <v>42</v>
      </c>
      <c r="B53" s="17" t="s">
        <v>5</v>
      </c>
      <c r="C53" s="536">
        <v>24.212579999999999</v>
      </c>
      <c r="D53" s="536">
        <v>26.523510000000002</v>
      </c>
      <c r="E53" s="536">
        <v>27.809010000000001</v>
      </c>
      <c r="F53" s="536">
        <v>29.072780000000002</v>
      </c>
      <c r="G53" s="536">
        <v>29.71049</v>
      </c>
      <c r="H53" s="536">
        <v>28.960789999999999</v>
      </c>
      <c r="I53" s="536">
        <v>29.897950000000002</v>
      </c>
      <c r="J53" s="536">
        <v>31.882380000000001</v>
      </c>
      <c r="K53" s="536">
        <v>32.684530000000002</v>
      </c>
      <c r="L53" s="536">
        <v>34.258380000000002</v>
      </c>
      <c r="M53" s="536">
        <v>33.343519999999998</v>
      </c>
      <c r="N53" s="536">
        <v>33.933423654076627</v>
      </c>
      <c r="O53" s="536">
        <v>37.970451799515125</v>
      </c>
      <c r="P53" s="536">
        <v>40.849453105545201</v>
      </c>
      <c r="Q53" s="536">
        <v>42.129230728604234</v>
      </c>
      <c r="R53" s="536">
        <v>43.838924112242843</v>
      </c>
      <c r="S53" s="536">
        <v>46.788432902884331</v>
      </c>
      <c r="T53" s="536">
        <v>50.939893111484928</v>
      </c>
      <c r="U53" s="536">
        <v>55.258043213742177</v>
      </c>
      <c r="V53" s="536">
        <v>58.585140813958446</v>
      </c>
      <c r="W53" s="536">
        <v>61.807216313576696</v>
      </c>
      <c r="X53" s="536">
        <v>63.304267883896607</v>
      </c>
      <c r="Y53" s="536">
        <v>67.004256542038192</v>
      </c>
      <c r="Z53" s="536">
        <v>64.804022506033292</v>
      </c>
      <c r="AA53" s="536">
        <v>65.892482350178398</v>
      </c>
      <c r="AB53" s="536">
        <v>72.906893671157192</v>
      </c>
      <c r="AC53" s="536">
        <v>81.103999048143507</v>
      </c>
      <c r="AD53" s="536">
        <v>88.049070847493397</v>
      </c>
      <c r="AE53" s="536">
        <v>93.470737377185998</v>
      </c>
      <c r="AF53" s="536">
        <v>96.122932839607302</v>
      </c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>
      <c r="A54" s="17">
        <v>490</v>
      </c>
      <c r="B54" s="17" t="s">
        <v>104</v>
      </c>
      <c r="C54" s="536">
        <v>22.38683</v>
      </c>
      <c r="D54" s="536">
        <v>24.548110000000001</v>
      </c>
      <c r="E54" s="536">
        <v>22.38683</v>
      </c>
      <c r="F54" s="536">
        <v>24.548110000000001</v>
      </c>
      <c r="G54" s="536">
        <v>26.317019999999999</v>
      </c>
      <c r="H54" s="536">
        <v>25.432569999999998</v>
      </c>
      <c r="I54" s="536">
        <v>25.156040000000001</v>
      </c>
      <c r="J54" s="536">
        <v>25.44707</v>
      </c>
      <c r="K54" s="536">
        <v>25.44707</v>
      </c>
      <c r="L54" s="536">
        <v>27.20148</v>
      </c>
      <c r="M54" s="536">
        <v>28.185870000000001</v>
      </c>
      <c r="N54" s="536">
        <v>22.98024684314996</v>
      </c>
      <c r="O54" s="536">
        <v>18.908346486201623</v>
      </c>
      <c r="P54" s="536">
        <v>18.546997225278599</v>
      </c>
      <c r="Q54" s="536">
        <v>15.859814138614798</v>
      </c>
      <c r="R54" s="536">
        <v>18.3117697181411</v>
      </c>
      <c r="S54" s="536">
        <v>16.280834704193403</v>
      </c>
      <c r="T54" s="536">
        <v>12.49878761392824</v>
      </c>
      <c r="U54" s="536">
        <v>11.10043752225514</v>
      </c>
      <c r="V54" s="536">
        <v>9.0462204934766017</v>
      </c>
      <c r="W54" s="536">
        <v>6.1672840285020998</v>
      </c>
      <c r="X54" s="536">
        <v>10.069382894538721</v>
      </c>
      <c r="Y54" s="536">
        <v>10.745434972162061</v>
      </c>
      <c r="Z54" s="536">
        <v>11.48678729450676</v>
      </c>
      <c r="AA54" s="536">
        <v>12.21402436499505</v>
      </c>
      <c r="AB54" s="536">
        <v>13.224617587614398</v>
      </c>
      <c r="AC54" s="536">
        <v>13.755112241420262</v>
      </c>
      <c r="AD54" s="536">
        <v>14.617281793119</v>
      </c>
      <c r="AE54" s="536">
        <v>15.521947492356119</v>
      </c>
      <c r="AF54" s="536">
        <v>15.96189987592032</v>
      </c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>
      <c r="A55" s="17">
        <v>816</v>
      </c>
      <c r="B55" s="17" t="s">
        <v>171</v>
      </c>
      <c r="C55" s="536">
        <v>35.528689999999997</v>
      </c>
      <c r="D55" s="536">
        <v>37.60915</v>
      </c>
      <c r="E55" s="536">
        <v>40.645650000000003</v>
      </c>
      <c r="F55" s="536">
        <v>43.518070000000002</v>
      </c>
      <c r="G55" s="536">
        <v>47.295479999999998</v>
      </c>
      <c r="H55" s="536">
        <v>49.729660000000003</v>
      </c>
      <c r="I55" s="536">
        <v>51.458219999999997</v>
      </c>
      <c r="J55" s="536">
        <v>53.3596</v>
      </c>
      <c r="K55" s="536">
        <v>54.650210000000001</v>
      </c>
      <c r="L55" s="536">
        <v>58.261069999999997</v>
      </c>
      <c r="M55" s="536">
        <v>63.750720000000001</v>
      </c>
      <c r="N55" s="536">
        <v>68.120710572014744</v>
      </c>
      <c r="O55" s="536">
        <v>75.234242789636681</v>
      </c>
      <c r="P55" s="536">
        <v>80.834768285960365</v>
      </c>
      <c r="Q55" s="536">
        <v>85.955100397445818</v>
      </c>
      <c r="R55" s="536">
        <v>94.57569674186486</v>
      </c>
      <c r="S55" s="536">
        <v>104.06336640012843</v>
      </c>
      <c r="T55" s="536">
        <v>112.67892384667634</v>
      </c>
      <c r="U55" s="536">
        <v>119.25676954368758</v>
      </c>
      <c r="V55" s="536">
        <v>124.32287142783478</v>
      </c>
      <c r="W55" s="536">
        <v>132.71836358779242</v>
      </c>
      <c r="X55" s="536">
        <v>141.49124569583751</v>
      </c>
      <c r="Y55" s="536">
        <v>149.61518825253481</v>
      </c>
      <c r="Z55" s="536">
        <v>159.56154238379659</v>
      </c>
      <c r="AA55" s="536">
        <v>174.78709241554799</v>
      </c>
      <c r="AB55" s="536">
        <v>195.86976923854996</v>
      </c>
      <c r="AC55" s="536">
        <v>213.21601249803399</v>
      </c>
      <c r="AD55" s="536">
        <v>223.6190006593296</v>
      </c>
      <c r="AE55" s="536">
        <v>237.17702081941022</v>
      </c>
      <c r="AF55" s="536">
        <v>254.29653850472778</v>
      </c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>
      <c r="A56" s="17">
        <v>130</v>
      </c>
      <c r="B56" s="17" t="s">
        <v>27</v>
      </c>
      <c r="C56" s="536">
        <v>44.628749999999997</v>
      </c>
      <c r="D56" s="536">
        <v>45.035499999999999</v>
      </c>
      <c r="E56" s="536">
        <v>46.461889999999997</v>
      </c>
      <c r="F56" s="536">
        <v>42.910469999999997</v>
      </c>
      <c r="G56" s="536">
        <v>44.202800000000003</v>
      </c>
      <c r="H56" s="536">
        <v>46.032389999999999</v>
      </c>
      <c r="I56" s="536">
        <v>47.322920000000003</v>
      </c>
      <c r="J56" s="536">
        <v>44.74868</v>
      </c>
      <c r="K56" s="536">
        <v>48.323950000000004</v>
      </c>
      <c r="L56" s="536">
        <v>48.557580000000002</v>
      </c>
      <c r="M56" s="536">
        <v>48.78472</v>
      </c>
      <c r="N56" s="536">
        <v>52.148872740794076</v>
      </c>
      <c r="O56" s="536">
        <v>53.442012554643426</v>
      </c>
      <c r="P56" s="536">
        <v>54.010999095811719</v>
      </c>
      <c r="Q56" s="536">
        <v>56.653221093850988</v>
      </c>
      <c r="R56" s="536">
        <v>57.649198186842085</v>
      </c>
      <c r="S56" s="536">
        <v>58.412906226302837</v>
      </c>
      <c r="T56" s="536">
        <v>61.081953050557686</v>
      </c>
      <c r="U56" s="536">
        <v>62.77672642625253</v>
      </c>
      <c r="V56" s="536">
        <v>57.327961105392426</v>
      </c>
      <c r="W56" s="536">
        <v>59.508820677412388</v>
      </c>
      <c r="X56" s="536">
        <v>63.541818427293876</v>
      </c>
      <c r="Y56" s="536">
        <v>66.998277460206069</v>
      </c>
      <c r="Z56" s="536">
        <v>68.76648013658685</v>
      </c>
      <c r="AA56" s="536">
        <v>74.05643839071557</v>
      </c>
      <c r="AB56" s="536">
        <v>78.78695714089281</v>
      </c>
      <c r="AC56" s="536">
        <v>81.972733585026347</v>
      </c>
      <c r="AD56" s="536">
        <v>84.42770497077484</v>
      </c>
      <c r="AE56" s="536">
        <v>90.463978986861605</v>
      </c>
      <c r="AF56" s="536">
        <v>89.923748766781799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>
      <c r="A57" s="17">
        <v>651</v>
      </c>
      <c r="B57" s="17" t="s">
        <v>136</v>
      </c>
      <c r="C57" s="536">
        <v>74.977519999999998</v>
      </c>
      <c r="D57" s="536">
        <v>84.981679999999997</v>
      </c>
      <c r="E57" s="536">
        <v>99.345590000000001</v>
      </c>
      <c r="F57" s="536">
        <v>108.0616</v>
      </c>
      <c r="G57" s="536">
        <v>116.0082</v>
      </c>
      <c r="H57" s="536">
        <v>119.1473</v>
      </c>
      <c r="I57" s="536">
        <v>130.29089999999999</v>
      </c>
      <c r="J57" s="536">
        <v>124.6647</v>
      </c>
      <c r="K57" s="536">
        <v>131.39930000000001</v>
      </c>
      <c r="L57" s="536">
        <v>140.14619999999999</v>
      </c>
      <c r="M57" s="536">
        <v>150.2671</v>
      </c>
      <c r="N57" s="6">
        <v>162.65883914561178</v>
      </c>
      <c r="O57" s="6">
        <v>177.2619605416125</v>
      </c>
      <c r="P57" s="6">
        <v>183.0307414787496</v>
      </c>
      <c r="Q57" s="6">
        <v>191.2714950972892</v>
      </c>
      <c r="R57" s="6">
        <v>200.75904330686299</v>
      </c>
      <c r="S57" s="6">
        <v>207.83106288908118</v>
      </c>
      <c r="T57" s="6">
        <v>213.67658717678239</v>
      </c>
      <c r="U57" s="6">
        <v>227.1501311509416</v>
      </c>
      <c r="V57" s="6">
        <v>239.7288627462207</v>
      </c>
      <c r="W57" s="6">
        <v>249.50071306481348</v>
      </c>
      <c r="X57" s="6">
        <v>256.87642622577062</v>
      </c>
      <c r="Y57" s="6">
        <v>267.65248808130269</v>
      </c>
      <c r="Z57" s="6">
        <v>278.59479240997661</v>
      </c>
      <c r="AA57" s="6">
        <v>291.09390828973727</v>
      </c>
      <c r="AB57" s="6">
        <v>310.55372444440638</v>
      </c>
      <c r="AC57" s="6">
        <v>331.57992826299721</v>
      </c>
      <c r="AD57" s="6">
        <v>354.51431443896155</v>
      </c>
      <c r="AE57" s="6">
        <v>372.33030951119167</v>
      </c>
      <c r="AF57" s="6">
        <v>390.93607103829567</v>
      </c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</row>
    <row r="58" spans="1:48">
      <c r="A58" s="17">
        <v>411</v>
      </c>
      <c r="B58" s="17" t="s">
        <v>84</v>
      </c>
      <c r="C58" s="536">
        <v>0.19700500000000001</v>
      </c>
      <c r="D58" s="536">
        <v>0.2129104</v>
      </c>
      <c r="E58" s="536">
        <v>0.22228329999999999</v>
      </c>
      <c r="F58" s="536">
        <v>0.2106645</v>
      </c>
      <c r="G58" s="536">
        <v>0.21525549999999999</v>
      </c>
      <c r="H58" s="536">
        <v>0.2394239</v>
      </c>
      <c r="I58" s="536">
        <v>0.2235906</v>
      </c>
      <c r="J58" s="536">
        <v>0.2434298</v>
      </c>
      <c r="K58" s="536">
        <v>0.25531110000000001</v>
      </c>
      <c r="L58" s="536">
        <v>0.24586040000000001</v>
      </c>
      <c r="M58" s="536">
        <v>0.23739769999999999</v>
      </c>
      <c r="N58" s="536">
        <v>0.25320123965901842</v>
      </c>
      <c r="O58" s="536">
        <v>0.2859894907180679</v>
      </c>
      <c r="P58" s="536">
        <v>0.30911312828858289</v>
      </c>
      <c r="Q58" s="536">
        <v>0.26145186289522565</v>
      </c>
      <c r="R58" s="536">
        <v>0.32176327820523698</v>
      </c>
      <c r="S58" s="536">
        <v>0.61275027735295806</v>
      </c>
      <c r="T58" s="536">
        <v>1.4007639941196264</v>
      </c>
      <c r="U58" s="536">
        <v>1.700259986573708</v>
      </c>
      <c r="V58" s="536">
        <v>2.2114356212566824</v>
      </c>
      <c r="W58" s="536">
        <v>2.8668700972304033</v>
      </c>
      <c r="X58" s="536">
        <v>4.4325941705262606</v>
      </c>
      <c r="Y58" s="536">
        <v>5.3837281586276271</v>
      </c>
      <c r="Z58" s="536">
        <v>5.9965765843691337</v>
      </c>
      <c r="AA58" s="536">
        <v>8.0442477534879142</v>
      </c>
      <c r="AB58" s="536">
        <v>8.7418872002949755</v>
      </c>
      <c r="AC58" s="536">
        <v>8.9272269930680803</v>
      </c>
      <c r="AD58" s="536">
        <v>10.834995452198193</v>
      </c>
      <c r="AE58" s="536">
        <v>13.291583409719999</v>
      </c>
      <c r="AF58" s="536">
        <v>13.930974738770999</v>
      </c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</row>
    <row r="59" spans="1:48">
      <c r="A59" s="17">
        <v>531</v>
      </c>
      <c r="B59" s="17" t="s">
        <v>113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36"/>
      <c r="O59" s="536">
        <v>1.6742669969700523</v>
      </c>
      <c r="P59" s="536">
        <v>2.1211257675365447</v>
      </c>
      <c r="Q59" s="536">
        <v>2.5848535906431978</v>
      </c>
      <c r="R59" s="536">
        <v>2.7655512825585227</v>
      </c>
      <c r="S59" s="536">
        <v>2.817799225994555</v>
      </c>
      <c r="T59" s="536">
        <v>3.1877300878636796</v>
      </c>
      <c r="U59" s="536">
        <v>3.6545012633283949</v>
      </c>
      <c r="V59" s="536">
        <v>3.733602605892707</v>
      </c>
      <c r="W59" s="536">
        <v>3.4494972496722003</v>
      </c>
      <c r="X59" s="536">
        <v>3.5137743489797599</v>
      </c>
      <c r="Y59" s="536">
        <v>3.5769528297304869</v>
      </c>
      <c r="Z59" s="536">
        <v>3.6090449705329148</v>
      </c>
      <c r="AA59" s="536">
        <v>3.5283196242562513</v>
      </c>
      <c r="AB59" s="536">
        <v>3.6257817511871027</v>
      </c>
      <c r="AC59" s="536">
        <v>3.4920477694474417</v>
      </c>
      <c r="AD59" s="536">
        <v>3.5793459797254772</v>
      </c>
      <c r="AE59" s="536">
        <v>3.28467398708022</v>
      </c>
      <c r="AF59" s="536">
        <v>3.3471403675489602</v>
      </c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</row>
    <row r="60" spans="1:48">
      <c r="A60" s="17">
        <v>366</v>
      </c>
      <c r="B60" s="17" t="s">
        <v>68</v>
      </c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>
        <v>15.18052</v>
      </c>
      <c r="N60" s="536">
        <v>14.063178133225714</v>
      </c>
      <c r="O60" s="536">
        <v>11.09801495968115</v>
      </c>
      <c r="P60" s="536">
        <v>10.594146638352155</v>
      </c>
      <c r="Q60" s="536">
        <v>10.378137694759049</v>
      </c>
      <c r="R60" s="536">
        <v>11.122123608777889</v>
      </c>
      <c r="S60" s="536">
        <v>11.597865227014903</v>
      </c>
      <c r="T60" s="536">
        <v>12.748420297907142</v>
      </c>
      <c r="U60" s="536">
        <v>13.196206432960061</v>
      </c>
      <c r="V60" s="536">
        <v>13.176051423121713</v>
      </c>
      <c r="W60" s="536">
        <v>14.41501000389585</v>
      </c>
      <c r="X60" s="536">
        <v>15.265418348010234</v>
      </c>
      <c r="Y60" s="536">
        <v>16.551223339235513</v>
      </c>
      <c r="Z60" s="536">
        <v>17.870986258506139</v>
      </c>
      <c r="AA60" s="536">
        <v>19.154174836014718</v>
      </c>
      <c r="AB60" s="536">
        <v>21.515788997953994</v>
      </c>
      <c r="AC60" s="536">
        <v>23.845274871615747</v>
      </c>
      <c r="AD60" s="536">
        <v>25.064755933800544</v>
      </c>
      <c r="AE60" s="536">
        <v>23.920235008751998</v>
      </c>
      <c r="AF60" s="536">
        <v>21.165952427558999</v>
      </c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</row>
    <row r="61" spans="1:48">
      <c r="A61" s="17">
        <v>530</v>
      </c>
      <c r="B61" s="17" t="s">
        <v>112</v>
      </c>
      <c r="C61" s="536">
        <v>16.309840000000001</v>
      </c>
      <c r="D61" s="536">
        <v>16.89527</v>
      </c>
      <c r="E61" s="536">
        <v>17.087540000000001</v>
      </c>
      <c r="F61" s="536">
        <v>17.815770000000001</v>
      </c>
      <c r="G61" s="536">
        <v>17.568269999999998</v>
      </c>
      <c r="H61" s="536">
        <v>17.143049999999999</v>
      </c>
      <c r="I61" s="536">
        <v>17.739989999999999</v>
      </c>
      <c r="J61" s="536">
        <v>15.379390000000001</v>
      </c>
      <c r="K61" s="536">
        <v>20.16018</v>
      </c>
      <c r="L61" s="536">
        <v>19.147359999999999</v>
      </c>
      <c r="M61" s="536">
        <v>19.986899999999999</v>
      </c>
      <c r="N61" s="536">
        <v>19.349176022605381</v>
      </c>
      <c r="O61" s="536">
        <v>17.308466485845184</v>
      </c>
      <c r="P61" s="536">
        <v>19.564391950701715</v>
      </c>
      <c r="Q61" s="536">
        <v>20.117997282369188</v>
      </c>
      <c r="R61" s="536">
        <v>21.278143914747947</v>
      </c>
      <c r="S61" s="536">
        <v>23.84333223291334</v>
      </c>
      <c r="T61" s="536">
        <v>27.729951606013451</v>
      </c>
      <c r="U61" s="536">
        <v>26.542930750205201</v>
      </c>
      <c r="V61" s="536">
        <v>28.158438375211354</v>
      </c>
      <c r="W61" s="536">
        <v>29.514715016457338</v>
      </c>
      <c r="X61" s="536">
        <v>31.814440522677376</v>
      </c>
      <c r="Y61" s="536">
        <v>32.143383144190636</v>
      </c>
      <c r="Z61" s="536">
        <v>30.943355046396839</v>
      </c>
      <c r="AA61" s="536">
        <v>33.815412489691163</v>
      </c>
      <c r="AB61" s="536">
        <v>38.237873676318394</v>
      </c>
      <c r="AC61" s="536">
        <v>42.626494577462068</v>
      </c>
      <c r="AD61" s="536">
        <v>47.406986264207205</v>
      </c>
      <c r="AE61" s="536">
        <v>53.102799235752599</v>
      </c>
      <c r="AF61" s="536">
        <v>58.340037258896444</v>
      </c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</row>
    <row r="62" spans="1:48">
      <c r="A62" s="17">
        <v>860</v>
      </c>
      <c r="B62" s="17" t="s">
        <v>197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536">
        <v>0.95768612404971265</v>
      </c>
      <c r="X62" s="536">
        <v>1.2248064231011828</v>
      </c>
      <c r="Y62" s="536">
        <v>1.427688349592843</v>
      </c>
      <c r="Z62" s="536">
        <v>1.3669658025708251</v>
      </c>
      <c r="AA62" s="536">
        <v>0.94796992946252523</v>
      </c>
      <c r="AB62" s="536">
        <v>0.95785863617112765</v>
      </c>
      <c r="AC62" s="536">
        <v>0.9597881666332656</v>
      </c>
      <c r="AD62" s="536">
        <v>1.1805082727257439</v>
      </c>
      <c r="AE62" s="536">
        <v>1.06032801128558</v>
      </c>
      <c r="AF62" s="536">
        <v>1.3074587639692001</v>
      </c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</row>
    <row r="63" spans="1:48">
      <c r="A63" s="17">
        <v>950</v>
      </c>
      <c r="B63" s="17" t="s">
        <v>184</v>
      </c>
      <c r="C63" s="536">
        <v>2.276484</v>
      </c>
      <c r="D63" s="536">
        <v>2.276259</v>
      </c>
      <c r="E63" s="536">
        <v>2.2062569999999999</v>
      </c>
      <c r="F63" s="536">
        <v>2.0494859999999999</v>
      </c>
      <c r="G63" s="536">
        <v>2.2259030000000002</v>
      </c>
      <c r="H63" s="536">
        <v>2.3478479999999999</v>
      </c>
      <c r="I63" s="536">
        <v>2.1790759999999998</v>
      </c>
      <c r="J63" s="536">
        <v>2.1606179999999999</v>
      </c>
      <c r="K63" s="536">
        <v>2.0765699999999998</v>
      </c>
      <c r="L63" s="536">
        <v>2.2281599999999999</v>
      </c>
      <c r="M63" s="536">
        <v>2.7278699999999998</v>
      </c>
      <c r="N63" s="6">
        <v>2.6374190657857994</v>
      </c>
      <c r="O63" s="6">
        <v>2.7778621387356002</v>
      </c>
      <c r="P63" s="6">
        <v>2.8727918364585001</v>
      </c>
      <c r="Q63" s="6">
        <v>2.9932409265629998</v>
      </c>
      <c r="R63" s="6">
        <v>3.0528247304215999</v>
      </c>
      <c r="S63" s="6">
        <v>3.1855654862447</v>
      </c>
      <c r="T63" s="6">
        <v>3.1188709608677998</v>
      </c>
      <c r="U63" s="6">
        <v>3.2136195214447998</v>
      </c>
      <c r="V63" s="6">
        <v>3.4529337049873998</v>
      </c>
      <c r="W63" s="6">
        <v>3.3636916499199998</v>
      </c>
      <c r="X63" s="6">
        <v>3.4216967427387996</v>
      </c>
      <c r="Y63" s="6">
        <v>3.5575012646027</v>
      </c>
      <c r="Z63" s="6">
        <v>3.5981509337766004</v>
      </c>
      <c r="AA63" s="6">
        <v>3.7516660440959999</v>
      </c>
      <c r="AB63" s="6">
        <v>3.7781579226509998</v>
      </c>
      <c r="AC63" s="6">
        <v>3.8456449905463996</v>
      </c>
      <c r="AD63" s="6">
        <v>3.8089665150408005</v>
      </c>
      <c r="AE63" s="6">
        <v>3.8149335782900997</v>
      </c>
      <c r="AF63" s="6">
        <v>3.7184212219559996</v>
      </c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>
      <c r="A64" s="17">
        <v>375</v>
      </c>
      <c r="B64" s="17" t="s">
        <v>76</v>
      </c>
      <c r="C64" s="536">
        <v>90.583399999999997</v>
      </c>
      <c r="D64" s="536">
        <v>92.423029999999997</v>
      </c>
      <c r="E64" s="536">
        <v>95.681569999999994</v>
      </c>
      <c r="F64" s="536">
        <v>98.355469999999997</v>
      </c>
      <c r="G64" s="536">
        <v>101.6841</v>
      </c>
      <c r="H64" s="536">
        <v>103.8944</v>
      </c>
      <c r="I64" s="536">
        <v>106.2697</v>
      </c>
      <c r="J64" s="536">
        <v>109.88030000000001</v>
      </c>
      <c r="K64" s="536">
        <v>115.842</v>
      </c>
      <c r="L64" s="536">
        <v>122.7657</v>
      </c>
      <c r="M64" s="536">
        <v>121.3032</v>
      </c>
      <c r="N64" s="6">
        <v>113.27807006554964</v>
      </c>
      <c r="O64" s="6">
        <v>108.14371325151467</v>
      </c>
      <c r="P64" s="6">
        <v>105.52435945053622</v>
      </c>
      <c r="Q64" s="6">
        <v>109.23668971281975</v>
      </c>
      <c r="R64" s="6">
        <v>115.2594552821092</v>
      </c>
      <c r="S64" s="6">
        <v>117.94254950621989</v>
      </c>
      <c r="T64" s="6">
        <v>126.18982394289242</v>
      </c>
      <c r="U64" s="6">
        <v>133.83542598467236</v>
      </c>
      <c r="V64" s="6">
        <v>139.39409410938174</v>
      </c>
      <c r="W64" s="6">
        <v>146.07577257429</v>
      </c>
      <c r="X64" s="6">
        <v>149.84311593078618</v>
      </c>
      <c r="Y64" s="6">
        <v>152.16366574370446</v>
      </c>
      <c r="Z64" s="6">
        <v>154.83027633302751</v>
      </c>
      <c r="AA64" s="6">
        <v>160.51798795225068</v>
      </c>
      <c r="AB64" s="6">
        <v>165.88373772968203</v>
      </c>
      <c r="AC64" s="6">
        <v>173.08936138094094</v>
      </c>
      <c r="AD64" s="6">
        <v>182.76368973017642</v>
      </c>
      <c r="AE64" s="6">
        <v>184.25153176406502</v>
      </c>
      <c r="AF64" s="6">
        <v>168.97601461649998</v>
      </c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</row>
    <row r="65" spans="1:48">
      <c r="A65" s="17">
        <v>220</v>
      </c>
      <c r="B65" s="17" t="s">
        <v>40</v>
      </c>
      <c r="C65" s="536">
        <v>1160.6410000000001</v>
      </c>
      <c r="D65" s="536">
        <v>1169.4069999999999</v>
      </c>
      <c r="E65" s="536">
        <v>1202.44</v>
      </c>
      <c r="F65" s="536">
        <v>1211.443</v>
      </c>
      <c r="G65" s="536">
        <v>1226.7940000000001</v>
      </c>
      <c r="H65" s="536">
        <v>1250.961</v>
      </c>
      <c r="I65" s="536">
        <v>1288.8389999999999</v>
      </c>
      <c r="J65" s="536">
        <v>1324.1959999999999</v>
      </c>
      <c r="K65" s="536">
        <v>1383.838</v>
      </c>
      <c r="L65" s="536">
        <v>1438.2760000000001</v>
      </c>
      <c r="M65" s="536">
        <v>1477.02</v>
      </c>
      <c r="N65" s="6">
        <v>1491.0112090731302</v>
      </c>
      <c r="O65" s="6">
        <v>1510.0203301547756</v>
      </c>
      <c r="P65" s="6">
        <v>1496.3258071079124</v>
      </c>
      <c r="Q65" s="6">
        <v>1528.8710718814516</v>
      </c>
      <c r="R65" s="6">
        <v>1560.068085609488</v>
      </c>
      <c r="S65" s="6">
        <v>1576.9269237897852</v>
      </c>
      <c r="T65" s="6">
        <v>1609.7794631382819</v>
      </c>
      <c r="U65" s="6">
        <v>1666.8094781197324</v>
      </c>
      <c r="V65" s="6">
        <v>1722.196709744044</v>
      </c>
      <c r="W65" s="6">
        <v>1789.2647299544096</v>
      </c>
      <c r="X65" s="6">
        <v>1822.0437519923682</v>
      </c>
      <c r="Y65" s="6">
        <v>1840.5110609088149</v>
      </c>
      <c r="Z65" s="6">
        <v>1860.9517569665466</v>
      </c>
      <c r="AA65" s="6">
        <v>1906.8508769332407</v>
      </c>
      <c r="AB65" s="6">
        <v>1948.5958288290624</v>
      </c>
      <c r="AC65" s="6">
        <v>1986.1024215395498</v>
      </c>
      <c r="AD65" s="6">
        <v>2038.7984518583964</v>
      </c>
      <c r="AE65" s="6">
        <v>2048.5727763074719</v>
      </c>
      <c r="AF65" s="6">
        <v>1986.53161784812</v>
      </c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</row>
    <row r="66" spans="1:48">
      <c r="A66" s="17">
        <v>987</v>
      </c>
      <c r="B66" s="17" t="s">
        <v>189</v>
      </c>
      <c r="C66" s="536">
        <v>0.21286089999999999</v>
      </c>
      <c r="D66" s="536">
        <v>0.23350989999999999</v>
      </c>
      <c r="E66" s="536">
        <v>0.22761039999999999</v>
      </c>
      <c r="F66" s="536">
        <v>0.2326927</v>
      </c>
      <c r="G66" s="536">
        <v>0.2238483</v>
      </c>
      <c r="H66" s="536">
        <v>0.26120330000000003</v>
      </c>
      <c r="I66" s="536">
        <v>0.28229290000000001</v>
      </c>
      <c r="J66" s="536">
        <v>0.28817320000000002</v>
      </c>
      <c r="K66" s="536">
        <v>0.30562099999999998</v>
      </c>
      <c r="L66" s="536">
        <v>0.30770140000000001</v>
      </c>
      <c r="M66" s="536">
        <v>0.32044240000000002</v>
      </c>
      <c r="N66" s="6">
        <v>0.34027927233051691</v>
      </c>
      <c r="O66" s="6">
        <v>0.35266219545972899</v>
      </c>
      <c r="P66" s="6">
        <v>0.37650582440634356</v>
      </c>
      <c r="Q66" s="6">
        <v>0.38371070726923678</v>
      </c>
      <c r="R66" s="6">
        <v>0.3901160035485392</v>
      </c>
      <c r="S66" s="6">
        <v>0.37037863563024259</v>
      </c>
      <c r="T66" s="6">
        <v>0.34776856057984179</v>
      </c>
      <c r="U66" s="6">
        <v>0.34532085112635597</v>
      </c>
      <c r="V66" s="6">
        <v>0.33344243004094332</v>
      </c>
      <c r="W66" s="6">
        <v>0.36451187714843403</v>
      </c>
      <c r="X66" s="6">
        <v>0.36628558509328457</v>
      </c>
      <c r="Y66" s="6">
        <v>0.36956910291003064</v>
      </c>
      <c r="Z66" s="6">
        <v>0.37000755983448252</v>
      </c>
      <c r="AA66" s="6">
        <v>0.36758497621995906</v>
      </c>
      <c r="AB66" s="6">
        <v>0.37571553126781698</v>
      </c>
      <c r="AC66" s="6">
        <v>0.37401074355220404</v>
      </c>
      <c r="AD66" s="6">
        <v>0.37307268026605195</v>
      </c>
      <c r="AE66" s="6">
        <v>0.36319060276199999</v>
      </c>
      <c r="AF66" s="6">
        <v>0.35954278827120001</v>
      </c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</row>
    <row r="67" spans="1:48">
      <c r="A67" s="17">
        <v>481</v>
      </c>
      <c r="B67" s="17" t="s">
        <v>100</v>
      </c>
      <c r="C67" s="536">
        <v>9.3208439999999992</v>
      </c>
      <c r="D67" s="536">
        <v>8.5824230000000004</v>
      </c>
      <c r="E67" s="536">
        <v>8.791582</v>
      </c>
      <c r="F67" s="536">
        <v>9.0014529999999997</v>
      </c>
      <c r="G67" s="536">
        <v>9.2487519999999996</v>
      </c>
      <c r="H67" s="536">
        <v>9.8184360000000002</v>
      </c>
      <c r="I67" s="536">
        <v>9.7914680000000001</v>
      </c>
      <c r="J67" s="536">
        <v>8.151681</v>
      </c>
      <c r="K67" s="536">
        <v>8.5442370000000007</v>
      </c>
      <c r="L67" s="536">
        <v>9.6804100000000002</v>
      </c>
      <c r="M67" s="536">
        <v>10.272180000000001</v>
      </c>
      <c r="N67" s="6">
        <v>10.914351075849826</v>
      </c>
      <c r="O67" s="6">
        <v>10.526648537199849</v>
      </c>
      <c r="P67" s="6">
        <v>11.054343082835997</v>
      </c>
      <c r="Q67" s="6">
        <v>11.465779588213051</v>
      </c>
      <c r="R67" s="6">
        <v>12.083245391535435</v>
      </c>
      <c r="S67" s="6">
        <v>12.402892142925028</v>
      </c>
      <c r="T67" s="6">
        <v>14.873049201590321</v>
      </c>
      <c r="U67" s="6">
        <v>15.15206226901414</v>
      </c>
      <c r="V67" s="6">
        <v>13.464397053129716</v>
      </c>
      <c r="W67" s="6">
        <v>13.646008345778208</v>
      </c>
      <c r="X67" s="6">
        <v>13.611367869908415</v>
      </c>
      <c r="Y67" s="6">
        <v>13.390865235635694</v>
      </c>
      <c r="Z67" s="6">
        <v>13.865409830832153</v>
      </c>
      <c r="AA67" s="6">
        <v>14.132613551723521</v>
      </c>
      <c r="AB67" s="6">
        <v>14.373214897599508</v>
      </c>
      <c r="AC67" s="6">
        <v>14.081662161118413</v>
      </c>
      <c r="AD67" s="6">
        <v>15.001731719827857</v>
      </c>
      <c r="AE67" s="6">
        <v>15.601175226178</v>
      </c>
      <c r="AF67" s="6">
        <v>15.568495808354999</v>
      </c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</row>
    <row r="68" spans="1:48">
      <c r="A68" s="17">
        <v>420</v>
      </c>
      <c r="B68" s="17" t="s">
        <v>85</v>
      </c>
      <c r="C68" s="536">
        <v>0.57239209999999996</v>
      </c>
      <c r="D68" s="536">
        <v>0.60682769999999997</v>
      </c>
      <c r="E68" s="536">
        <v>0.72576130000000005</v>
      </c>
      <c r="F68" s="536">
        <v>0.66784200000000005</v>
      </c>
      <c r="G68" s="536">
        <v>0.66305380000000003</v>
      </c>
      <c r="H68" s="536">
        <v>0.67844210000000005</v>
      </c>
      <c r="I68" s="536">
        <v>0.69758520000000002</v>
      </c>
      <c r="J68" s="536">
        <v>0.70889530000000001</v>
      </c>
      <c r="K68" s="536">
        <v>0.72886779999999995</v>
      </c>
      <c r="L68" s="536">
        <v>0.788134</v>
      </c>
      <c r="M68" s="536">
        <v>0.80680169999999996</v>
      </c>
      <c r="N68" s="6">
        <v>0.84782802049547934</v>
      </c>
      <c r="O68" s="6">
        <v>0.85196251441025816</v>
      </c>
      <c r="P68" s="6">
        <v>0.91460283097613337</v>
      </c>
      <c r="Q68" s="6">
        <v>0.90155522618234341</v>
      </c>
      <c r="R68" s="6">
        <v>0.89502623964924866</v>
      </c>
      <c r="S68" s="6">
        <v>0.93694517504691266</v>
      </c>
      <c r="T68" s="6">
        <v>0.96976073566980159</v>
      </c>
      <c r="U68" s="6">
        <v>0.96010314372356342</v>
      </c>
      <c r="V68" s="6">
        <v>1.0183681544354966</v>
      </c>
      <c r="W68" s="6">
        <v>1.0990966037515686</v>
      </c>
      <c r="X68" s="6">
        <v>1.13685209172248</v>
      </c>
      <c r="Y68" s="6">
        <v>1.1149977244568399</v>
      </c>
      <c r="Z68" s="6">
        <v>1.19933560207344</v>
      </c>
      <c r="AA68" s="6">
        <v>1.3161502071104401</v>
      </c>
      <c r="AB68" s="6">
        <v>1.7891136310608</v>
      </c>
      <c r="AC68" s="6">
        <v>1.8484469928287999</v>
      </c>
      <c r="AD68" s="6">
        <v>2.160848585933</v>
      </c>
      <c r="AE68" s="6">
        <v>2.3842757921526001</v>
      </c>
      <c r="AF68" s="6">
        <v>2.5083735582692999</v>
      </c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</row>
    <row r="69" spans="1:48">
      <c r="A69" s="17">
        <v>452</v>
      </c>
      <c r="B69" s="17" t="s">
        <v>96</v>
      </c>
      <c r="C69" s="536">
        <v>8.9298319999999993</v>
      </c>
      <c r="D69" s="536">
        <v>8.9562869999999997</v>
      </c>
      <c r="E69" s="536">
        <v>9.5392690000000009</v>
      </c>
      <c r="F69" s="536">
        <v>8.9447569999999992</v>
      </c>
      <c r="G69" s="536">
        <v>9.8736770000000007</v>
      </c>
      <c r="H69" s="536">
        <v>10.66323</v>
      </c>
      <c r="I69" s="536">
        <v>10.58431</v>
      </c>
      <c r="J69" s="536">
        <v>10.66499</v>
      </c>
      <c r="K69" s="536">
        <v>11.663930000000001</v>
      </c>
      <c r="L69" s="536">
        <v>12.591620000000001</v>
      </c>
      <c r="M69" s="536">
        <v>13.032389999999999</v>
      </c>
      <c r="N69" s="536">
        <v>13.882576355137282</v>
      </c>
      <c r="O69" s="536">
        <v>13.610073116418871</v>
      </c>
      <c r="P69" s="536">
        <v>13.80095949378355</v>
      </c>
      <c r="Q69" s="536">
        <v>14.349196070080382</v>
      </c>
      <c r="R69" s="536">
        <v>15.002576299511199</v>
      </c>
      <c r="S69" s="536">
        <v>15.630622672885851</v>
      </c>
      <c r="T69" s="536">
        <v>14.35652011700952</v>
      </c>
      <c r="U69" s="536">
        <v>15.54327101749608</v>
      </c>
      <c r="V69" s="536">
        <v>15.547171661164441</v>
      </c>
      <c r="W69" s="536">
        <v>17.550136184133837</v>
      </c>
      <c r="X69" s="536">
        <v>18.332358813248042</v>
      </c>
      <c r="Y69" s="536">
        <v>18.902782072888382</v>
      </c>
      <c r="Z69" s="536">
        <v>20.132868148069818</v>
      </c>
      <c r="AA69" s="536">
        <v>21.679302987770502</v>
      </c>
      <c r="AB69" s="536">
        <v>23.056479770497802</v>
      </c>
      <c r="AC69" s="536">
        <v>24.514439521474799</v>
      </c>
      <c r="AD69" s="536">
        <v>26.277687450113397</v>
      </c>
      <c r="AE69" s="536">
        <v>28.411054758734501</v>
      </c>
      <c r="AF69" s="536">
        <v>29.6404279083728</v>
      </c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</row>
    <row r="70" spans="1:48">
      <c r="A70" s="17">
        <v>255</v>
      </c>
      <c r="B70" s="17" t="s">
        <v>47</v>
      </c>
      <c r="C70" s="536">
        <v>1676.807</v>
      </c>
      <c r="D70" s="536">
        <v>1668.796</v>
      </c>
      <c r="E70" s="536">
        <v>1654.115</v>
      </c>
      <c r="F70" s="536">
        <v>1685.442</v>
      </c>
      <c r="G70" s="536">
        <v>1725.364</v>
      </c>
      <c r="H70" s="536">
        <v>1758.076</v>
      </c>
      <c r="I70" s="536">
        <v>1809.566</v>
      </c>
      <c r="J70" s="536">
        <v>1843.079</v>
      </c>
      <c r="K70" s="536">
        <v>1909.0360000000001</v>
      </c>
      <c r="L70" s="536">
        <v>1976.664</v>
      </c>
      <c r="M70" s="536">
        <v>2074.3290000000002</v>
      </c>
      <c r="N70" s="536">
        <v>2173.7791407422442</v>
      </c>
      <c r="O70" s="536">
        <v>2224.2586226621202</v>
      </c>
      <c r="P70" s="536">
        <v>2207.6098053084497</v>
      </c>
      <c r="Q70" s="536">
        <v>2265.2127388763083</v>
      </c>
      <c r="R70" s="536">
        <v>2307.7305889691088</v>
      </c>
      <c r="S70" s="536">
        <v>2329.0311086296119</v>
      </c>
      <c r="T70" s="536">
        <v>2368.5076277188405</v>
      </c>
      <c r="U70" s="536">
        <v>2415.9501501064647</v>
      </c>
      <c r="V70" s="536">
        <v>2465.1928205878962</v>
      </c>
      <c r="W70" s="536">
        <v>2542.1601965069199</v>
      </c>
      <c r="X70" s="536">
        <v>2571.715626209434</v>
      </c>
      <c r="Y70" s="536">
        <v>2566.9073626213499</v>
      </c>
      <c r="Z70" s="536">
        <v>2562.0326234719346</v>
      </c>
      <c r="AA70" s="536">
        <v>2589.1727980627488</v>
      </c>
      <c r="AB70" s="536">
        <v>2605.9486436363659</v>
      </c>
      <c r="AC70" s="536">
        <v>2689.4276541263339</v>
      </c>
      <c r="AD70" s="536">
        <v>2766.3064552949072</v>
      </c>
      <c r="AE70" s="536">
        <v>2795.9794367857053</v>
      </c>
      <c r="AF70" s="536">
        <v>2659.1195546706563</v>
      </c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>
      <c r="A71" s="17">
        <v>404</v>
      </c>
      <c r="B71" s="17" t="s">
        <v>83</v>
      </c>
      <c r="C71" s="536">
        <v>0.30021690000000001</v>
      </c>
      <c r="D71" s="536">
        <v>0.40998109999999999</v>
      </c>
      <c r="E71" s="536">
        <v>0.38189980000000001</v>
      </c>
      <c r="F71" s="536">
        <v>0.36882140000000002</v>
      </c>
      <c r="G71" s="536">
        <v>0.39707219999999999</v>
      </c>
      <c r="H71" s="536">
        <v>0.41467150000000003</v>
      </c>
      <c r="I71" s="536">
        <v>0.43538959999999999</v>
      </c>
      <c r="J71" s="536">
        <v>0.38940380000000002</v>
      </c>
      <c r="K71" s="536">
        <v>0.36008449999999997</v>
      </c>
      <c r="L71" s="536">
        <v>0.4051728</v>
      </c>
      <c r="M71" s="536">
        <v>0.42691069999999998</v>
      </c>
      <c r="N71" s="6">
        <v>0.4444465662923201</v>
      </c>
      <c r="O71" s="6">
        <v>0.45654092839951649</v>
      </c>
      <c r="P71" s="6">
        <v>0.57109397780438043</v>
      </c>
      <c r="Q71" s="6">
        <v>0.62535077699706487</v>
      </c>
      <c r="R71" s="6">
        <v>0.67057135631735809</v>
      </c>
      <c r="S71" s="6">
        <v>0.77549361243616077</v>
      </c>
      <c r="T71" s="6">
        <v>0.7892465494727815</v>
      </c>
      <c r="U71" s="6">
        <v>0.57731009698325264</v>
      </c>
      <c r="V71" s="6">
        <v>0.58119657209092879</v>
      </c>
      <c r="W71" s="6">
        <v>0.5797163717688022</v>
      </c>
      <c r="X71" s="6">
        <v>0.5856836263360623</v>
      </c>
      <c r="Y71" s="6">
        <v>0.58001834234771199</v>
      </c>
      <c r="Z71" s="6">
        <v>0.58919454787988634</v>
      </c>
      <c r="AA71" s="6">
        <v>0.59066715876464737</v>
      </c>
      <c r="AB71" s="6">
        <v>1.1224675566536595</v>
      </c>
      <c r="AC71" s="6">
        <v>1.1469834896837956</v>
      </c>
      <c r="AD71" s="6">
        <v>1.1648362661888698</v>
      </c>
      <c r="AE71" s="6">
        <v>1.2115436718269701</v>
      </c>
      <c r="AF71" s="6">
        <v>1.2540842528356999</v>
      </c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>
      <c r="A72" s="17">
        <v>350</v>
      </c>
      <c r="B72" s="17" t="s">
        <v>62</v>
      </c>
      <c r="C72" s="536">
        <v>168.37270000000001</v>
      </c>
      <c r="D72" s="536">
        <v>165.93469999999999</v>
      </c>
      <c r="E72" s="536">
        <v>164.1044</v>
      </c>
      <c r="F72" s="536">
        <v>162.48320000000001</v>
      </c>
      <c r="G72" s="536">
        <v>165.6994</v>
      </c>
      <c r="H72" s="536">
        <v>169.9264</v>
      </c>
      <c r="I72" s="536">
        <v>170.75819999999999</v>
      </c>
      <c r="J72" s="536">
        <v>166.90119999999999</v>
      </c>
      <c r="K72" s="536">
        <v>173.8553</v>
      </c>
      <c r="L72" s="536">
        <v>180.54900000000001</v>
      </c>
      <c r="M72" s="536">
        <v>180.6491</v>
      </c>
      <c r="N72" s="536">
        <v>186.1356760209101</v>
      </c>
      <c r="O72" s="536">
        <v>187.24989440870465</v>
      </c>
      <c r="P72" s="536">
        <v>184.39323697504264</v>
      </c>
      <c r="Q72" s="536">
        <v>187.94636265317652</v>
      </c>
      <c r="R72" s="536">
        <v>192.05040206084982</v>
      </c>
      <c r="S72" s="536">
        <v>196.58465779250716</v>
      </c>
      <c r="T72" s="536">
        <v>203.68903526700763</v>
      </c>
      <c r="U72" s="536">
        <v>210.46618604766496</v>
      </c>
      <c r="V72" s="536">
        <v>217.53948102664594</v>
      </c>
      <c r="W72" s="536">
        <v>227.4535878657918</v>
      </c>
      <c r="X72" s="536">
        <v>236.84633054933235</v>
      </c>
      <c r="Y72" s="536">
        <v>245.98181302230179</v>
      </c>
      <c r="Z72" s="536">
        <v>258.90517455479846</v>
      </c>
      <c r="AA72" s="536">
        <v>270.97437606286138</v>
      </c>
      <c r="AB72" s="536">
        <v>274.43713760513896</v>
      </c>
      <c r="AC72" s="536">
        <v>287.84432551506455</v>
      </c>
      <c r="AD72" s="536">
        <v>299.38891081282691</v>
      </c>
      <c r="AE72" s="536">
        <v>302.89314912598604</v>
      </c>
      <c r="AF72" s="536">
        <v>293.17359186284398</v>
      </c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>
      <c r="A73" s="17">
        <v>372</v>
      </c>
      <c r="B73" s="17" t="s">
        <v>74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536">
        <v>11.405205512699217</v>
      </c>
      <c r="Q73" s="536">
        <v>10.031457100262108</v>
      </c>
      <c r="R73" s="536">
        <v>9.8997271399426179</v>
      </c>
      <c r="S73" s="536">
        <v>12.720667702107383</v>
      </c>
      <c r="T73" s="536">
        <v>12.981031677422763</v>
      </c>
      <c r="U73" s="536">
        <v>12.566119982985901</v>
      </c>
      <c r="V73" s="536">
        <v>12.587339917094916</v>
      </c>
      <c r="W73" s="536">
        <v>14.12997825357129</v>
      </c>
      <c r="X73" s="536">
        <v>13.788946346104302</v>
      </c>
      <c r="Y73" s="536">
        <v>14.192808235628894</v>
      </c>
      <c r="Z73" s="536">
        <v>14.857813732437277</v>
      </c>
      <c r="AA73" s="536">
        <v>16.448845426211975</v>
      </c>
      <c r="AB73" s="536">
        <v>17.868724312869855</v>
      </c>
      <c r="AC73" s="536">
        <v>20.175153413943672</v>
      </c>
      <c r="AD73" s="536">
        <v>21.876906986542661</v>
      </c>
      <c r="AE73" s="536">
        <v>23.266611908924588</v>
      </c>
      <c r="AF73" s="536">
        <v>23.372283359919201</v>
      </c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>
      <c r="A74" s="17">
        <v>55</v>
      </c>
      <c r="B74" s="17" t="s">
        <v>10</v>
      </c>
      <c r="C74" s="536">
        <v>0.4154564</v>
      </c>
      <c r="D74" s="536">
        <v>0.46472849999999999</v>
      </c>
      <c r="E74" s="536">
        <v>0.49377500000000002</v>
      </c>
      <c r="F74" s="536">
        <v>0.50292499999999996</v>
      </c>
      <c r="G74" s="536">
        <v>0.49763420000000003</v>
      </c>
      <c r="H74" s="536">
        <v>0.5230802</v>
      </c>
      <c r="I74" s="536">
        <v>0.57280609999999998</v>
      </c>
      <c r="J74" s="536">
        <v>0.67148890000000006</v>
      </c>
      <c r="K74" s="536">
        <v>0.69896329999999995</v>
      </c>
      <c r="L74" s="536">
        <v>0.76827129999999999</v>
      </c>
      <c r="M74" s="536">
        <v>0.82676329999999998</v>
      </c>
      <c r="N74" s="536">
        <v>0.84345445588900014</v>
      </c>
      <c r="O74" s="536">
        <v>0.78325596655999996</v>
      </c>
      <c r="P74" s="536">
        <v>0.74387117887679999</v>
      </c>
      <c r="Q74" s="536">
        <v>0.81022721855039992</v>
      </c>
      <c r="R74" s="536">
        <v>0.8111183308662</v>
      </c>
      <c r="S74" s="536">
        <v>0.84241677741209997</v>
      </c>
      <c r="T74" s="536">
        <v>0.94242304390000009</v>
      </c>
      <c r="U74" s="536">
        <v>0.9939256676799999</v>
      </c>
      <c r="V74" s="536">
        <v>1.0519482630369998</v>
      </c>
      <c r="W74" s="536">
        <v>1.1619131859899998</v>
      </c>
      <c r="X74" s="536">
        <v>1.1110763905800001</v>
      </c>
      <c r="Y74" s="536">
        <v>1.1471194098469999</v>
      </c>
      <c r="Z74" s="536">
        <v>1.2755906188199999</v>
      </c>
      <c r="AA74" s="536">
        <v>1.1977628090479999</v>
      </c>
      <c r="AB74" s="536">
        <v>1.3276473900899999</v>
      </c>
      <c r="AC74" s="536">
        <v>1.30971534162</v>
      </c>
      <c r="AD74" s="536">
        <v>1.3684853723720001</v>
      </c>
      <c r="AE74" s="536">
        <v>1.3784460999169998</v>
      </c>
      <c r="AF74" s="536">
        <v>1.286528629457</v>
      </c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>
      <c r="A75" s="17">
        <v>90</v>
      </c>
      <c r="B75" s="17" t="s">
        <v>17</v>
      </c>
      <c r="C75" s="536">
        <v>38.195340000000002</v>
      </c>
      <c r="D75" s="536">
        <v>38.500720000000001</v>
      </c>
      <c r="E75" s="536">
        <v>37.793239999999997</v>
      </c>
      <c r="F75" s="536">
        <v>37.252659999999999</v>
      </c>
      <c r="G75" s="536">
        <v>37.188839999999999</v>
      </c>
      <c r="H75" s="536">
        <v>37.293210000000002</v>
      </c>
      <c r="I75" s="536">
        <v>37.610520000000001</v>
      </c>
      <c r="J75" s="536">
        <v>38.014420000000001</v>
      </c>
      <c r="K75" s="536">
        <v>39.494329999999998</v>
      </c>
      <c r="L75" s="536">
        <v>41.146799999999999</v>
      </c>
      <c r="M75" s="536">
        <v>42.655029999999996</v>
      </c>
      <c r="N75" s="536">
        <v>43.998074073433735</v>
      </c>
      <c r="O75" s="536">
        <v>44.957068811390897</v>
      </c>
      <c r="P75" s="536">
        <v>46.761601704041837</v>
      </c>
      <c r="Q75" s="536">
        <v>48.468951386408108</v>
      </c>
      <c r="R75" s="536">
        <v>50.682573077548064</v>
      </c>
      <c r="S75" s="536">
        <v>52.79126765354107</v>
      </c>
      <c r="T75" s="536">
        <v>54.382475006994383</v>
      </c>
      <c r="U75" s="536">
        <v>55.934634164284461</v>
      </c>
      <c r="V75" s="536">
        <v>58.452270196331597</v>
      </c>
      <c r="W75" s="536">
        <v>60.449211343706146</v>
      </c>
      <c r="X75" s="536">
        <v>61.107759498298591</v>
      </c>
      <c r="Y75" s="536">
        <v>63.360771571105793</v>
      </c>
      <c r="Z75" s="536">
        <v>64.830057581760826</v>
      </c>
      <c r="AA75" s="536">
        <v>66.433815196358964</v>
      </c>
      <c r="AB75" s="536">
        <v>68.579404273337062</v>
      </c>
      <c r="AC75" s="536">
        <v>72.354797266293517</v>
      </c>
      <c r="AD75" s="536">
        <v>76.919475732845768</v>
      </c>
      <c r="AE75" s="536">
        <v>79.651839091730395</v>
      </c>
      <c r="AF75" s="536">
        <v>83.488578288761801</v>
      </c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>
      <c r="A76" s="17">
        <v>438</v>
      </c>
      <c r="B76" s="17" t="s">
        <v>92</v>
      </c>
      <c r="C76" s="536">
        <v>3.9295469999999999</v>
      </c>
      <c r="D76" s="536">
        <v>3.9510990000000001</v>
      </c>
      <c r="E76" s="536">
        <v>4.0309739999999996</v>
      </c>
      <c r="F76" s="536">
        <v>4.0681440000000002</v>
      </c>
      <c r="G76" s="536">
        <v>4.1331189999999998</v>
      </c>
      <c r="H76" s="536">
        <v>4.3470319999999996</v>
      </c>
      <c r="I76" s="536">
        <v>4.449211</v>
      </c>
      <c r="J76" s="536">
        <v>4.6042969999999999</v>
      </c>
      <c r="K76" s="536">
        <v>4.8696000000000002</v>
      </c>
      <c r="L76" s="536">
        <v>5.0782959999999999</v>
      </c>
      <c r="M76" s="536">
        <v>5.266114</v>
      </c>
      <c r="N76" s="536">
        <v>5.3184431106287589</v>
      </c>
      <c r="O76" s="536">
        <v>5.4532644092741576</v>
      </c>
      <c r="P76" s="536">
        <v>5.715206067828035</v>
      </c>
      <c r="Q76" s="536">
        <v>5.9303169329250816</v>
      </c>
      <c r="R76" s="536">
        <v>6.1922633980789943</v>
      </c>
      <c r="S76" s="536">
        <v>6.5141960561376395</v>
      </c>
      <c r="T76" s="536">
        <v>5.6816796561220198</v>
      </c>
      <c r="U76" s="536">
        <v>5.8619608291389609</v>
      </c>
      <c r="V76" s="536">
        <v>6.1564887666553538</v>
      </c>
      <c r="W76" s="536">
        <v>6.3171387340932075</v>
      </c>
      <c r="X76" s="536">
        <v>6.59390840912861</v>
      </c>
      <c r="Y76" s="536">
        <v>6.9164614738409069</v>
      </c>
      <c r="Z76" s="536">
        <v>7.4075472970143075</v>
      </c>
      <c r="AA76" s="536">
        <v>7.6122030666194522</v>
      </c>
      <c r="AB76" s="536">
        <v>7.963663318928508</v>
      </c>
      <c r="AC76" s="536">
        <v>8.0318440250931946</v>
      </c>
      <c r="AD76" s="536">
        <v>7.9819720846308488</v>
      </c>
      <c r="AE76" s="536">
        <v>7.9795053290553302</v>
      </c>
      <c r="AF76" s="536">
        <v>8.2754346296567807</v>
      </c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</row>
    <row r="77" spans="1:48">
      <c r="A77" s="17">
        <v>110</v>
      </c>
      <c r="B77" s="17" t="s">
        <v>25</v>
      </c>
      <c r="C77" s="536">
        <v>1.7514670000000001</v>
      </c>
      <c r="D77" s="536">
        <v>1.6887970000000001</v>
      </c>
      <c r="E77" s="536">
        <v>1.324532</v>
      </c>
      <c r="F77" s="536">
        <v>1.1800090000000001</v>
      </c>
      <c r="G77" s="536">
        <v>1.0964039999999999</v>
      </c>
      <c r="H77" s="536">
        <v>1.081107</v>
      </c>
      <c r="I77" s="536">
        <v>1.08816</v>
      </c>
      <c r="J77" s="536">
        <v>1.13889</v>
      </c>
      <c r="K77" s="536">
        <v>1.310872</v>
      </c>
      <c r="L77" s="536">
        <v>1.1100369999999999</v>
      </c>
      <c r="M77" s="536">
        <v>1.0861190000000001</v>
      </c>
      <c r="N77" s="536">
        <v>1.3827017665863</v>
      </c>
      <c r="O77" s="536">
        <v>1.5043111491537999</v>
      </c>
      <c r="P77" s="536">
        <v>1.5613254148219</v>
      </c>
      <c r="Q77" s="536">
        <v>1.4749412414976</v>
      </c>
      <c r="R77" s="536">
        <v>1.6377269720840999</v>
      </c>
      <c r="S77" s="536">
        <v>1.7721696291834999</v>
      </c>
      <c r="T77" s="536">
        <v>2.4130930803455999</v>
      </c>
      <c r="U77" s="536">
        <v>2.4368314939815003</v>
      </c>
      <c r="V77" s="536">
        <v>2.425785113856</v>
      </c>
      <c r="W77" s="536">
        <v>2.4883417261061997</v>
      </c>
      <c r="X77" s="536">
        <v>2.6476347563303997</v>
      </c>
      <c r="Y77" s="536">
        <v>2.5989616842525001</v>
      </c>
      <c r="Z77" s="536">
        <v>2.5917174584339997</v>
      </c>
      <c r="AA77" s="536">
        <v>2.6651819367128002</v>
      </c>
      <c r="AB77" s="536">
        <v>2.9181682639208</v>
      </c>
      <c r="AC77" s="536">
        <v>2.8460718704880001</v>
      </c>
      <c r="AD77" s="536">
        <v>3.0775950764715998</v>
      </c>
      <c r="AE77" s="536">
        <v>3.1470850975690001</v>
      </c>
      <c r="AF77" s="536">
        <v>3.2653050316179004</v>
      </c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</row>
    <row r="78" spans="1:48">
      <c r="A78" s="17">
        <v>41</v>
      </c>
      <c r="B78" s="17" t="s">
        <v>4</v>
      </c>
      <c r="C78" s="536">
        <v>12.39831</v>
      </c>
      <c r="D78" s="536">
        <v>12.24091</v>
      </c>
      <c r="E78" s="536">
        <v>11.243919999999999</v>
      </c>
      <c r="F78" s="536">
        <v>11.24882</v>
      </c>
      <c r="G78" s="536">
        <v>11.502050000000001</v>
      </c>
      <c r="H78" s="536">
        <v>11.72814</v>
      </c>
      <c r="I78" s="536">
        <v>11.66696</v>
      </c>
      <c r="J78" s="536">
        <v>11.445399999999999</v>
      </c>
      <c r="K78" s="536">
        <v>11.895099999999999</v>
      </c>
      <c r="L78" s="536">
        <v>11.12843</v>
      </c>
      <c r="M78" s="536">
        <v>11.270110000000001</v>
      </c>
      <c r="N78" s="6">
        <v>11.131028684621999</v>
      </c>
      <c r="O78" s="6">
        <v>10.437925212281</v>
      </c>
      <c r="P78" s="6">
        <v>10.8799395170493</v>
      </c>
      <c r="Q78" s="6">
        <v>10.417372262900001</v>
      </c>
      <c r="R78" s="6">
        <v>11.570497537457001</v>
      </c>
      <c r="S78" s="6">
        <v>11.789251402722801</v>
      </c>
      <c r="T78" s="6">
        <v>11.850624408713999</v>
      </c>
      <c r="U78" s="6">
        <v>12.219352474244099</v>
      </c>
      <c r="V78" s="6">
        <v>12.407371051349999</v>
      </c>
      <c r="W78" s="6">
        <v>12.759175107586</v>
      </c>
      <c r="X78" s="6">
        <v>12.640249680905001</v>
      </c>
      <c r="Y78" s="6">
        <v>12.554988701869901</v>
      </c>
      <c r="Z78" s="6">
        <v>12.573756246187999</v>
      </c>
      <c r="AA78" s="6">
        <v>12.036399548332202</v>
      </c>
      <c r="AB78" s="6">
        <v>12.509438633744498</v>
      </c>
      <c r="AC78" s="6">
        <v>12.712873802792801</v>
      </c>
      <c r="AD78" s="6">
        <v>13.138609970099999</v>
      </c>
      <c r="AE78" s="6">
        <v>13.519686993472801</v>
      </c>
      <c r="AF78" s="6">
        <v>14.1158893856212</v>
      </c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</row>
    <row r="79" spans="1:48">
      <c r="A79" s="17">
        <v>91</v>
      </c>
      <c r="B79" s="17" t="s">
        <v>18</v>
      </c>
      <c r="C79" s="536">
        <v>11.12735</v>
      </c>
      <c r="D79" s="536">
        <v>12.035869999999999</v>
      </c>
      <c r="E79" s="536">
        <v>12.456860000000001</v>
      </c>
      <c r="F79" s="536">
        <v>12.27974</v>
      </c>
      <c r="G79" s="536">
        <v>12.29776</v>
      </c>
      <c r="H79" s="536">
        <v>13.055960000000001</v>
      </c>
      <c r="I79" s="536">
        <v>13.16361</v>
      </c>
      <c r="J79" s="536">
        <v>13.957689999999999</v>
      </c>
      <c r="K79" s="536">
        <v>14.355409999999999</v>
      </c>
      <c r="L79" s="536">
        <v>15.113239999999999</v>
      </c>
      <c r="M79" s="536">
        <v>15.003740000000001</v>
      </c>
      <c r="N79" s="6">
        <v>14.955683303097475</v>
      </c>
      <c r="O79" s="6">
        <v>15.891255461780963</v>
      </c>
      <c r="P79" s="6">
        <v>16.265983785793033</v>
      </c>
      <c r="Q79" s="6">
        <v>15.541480724443472</v>
      </c>
      <c r="R79" s="6">
        <v>16.387147071761273</v>
      </c>
      <c r="S79" s="6">
        <v>17.250122343182394</v>
      </c>
      <c r="T79" s="6">
        <v>18.206771276886329</v>
      </c>
      <c r="U79" s="6">
        <v>18.632933197454864</v>
      </c>
      <c r="V79" s="6">
        <v>17.73182576560712</v>
      </c>
      <c r="W79" s="6">
        <v>19.101744845377198</v>
      </c>
      <c r="X79" s="6">
        <v>19.672723017872702</v>
      </c>
      <c r="Y79" s="6">
        <v>20.333547909173401</v>
      </c>
      <c r="Z79" s="6">
        <v>21.195425292523197</v>
      </c>
      <c r="AA79" s="6">
        <v>22.4176340445552</v>
      </c>
      <c r="AB79" s="6">
        <v>23.8072320923132</v>
      </c>
      <c r="AC79" s="6">
        <v>25.3309664991985</v>
      </c>
      <c r="AD79" s="6">
        <v>27.250014988971998</v>
      </c>
      <c r="AE79" s="6">
        <v>28.316607753484799</v>
      </c>
      <c r="AF79" s="6">
        <v>28.262334200315603</v>
      </c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>
      <c r="A80" s="17">
        <v>310</v>
      </c>
      <c r="B80" s="17" t="s">
        <v>50</v>
      </c>
      <c r="C80" s="536">
        <v>113.578</v>
      </c>
      <c r="D80" s="536">
        <v>116.50149999999999</v>
      </c>
      <c r="E80" s="536">
        <v>118.4023</v>
      </c>
      <c r="F80" s="536">
        <v>118.52970000000001</v>
      </c>
      <c r="G80" s="536">
        <v>120.39870000000001</v>
      </c>
      <c r="H80" s="536">
        <v>121.25530000000001</v>
      </c>
      <c r="I80" s="536">
        <v>124.19199999999999</v>
      </c>
      <c r="J80" s="536">
        <v>128.51179999999999</v>
      </c>
      <c r="K80" s="536">
        <v>126.5335</v>
      </c>
      <c r="L80" s="536">
        <v>127.5115</v>
      </c>
      <c r="M80" s="536">
        <v>123.5254</v>
      </c>
      <c r="N80" s="536">
        <v>112.48858575746196</v>
      </c>
      <c r="O80" s="536">
        <v>110.56055851562357</v>
      </c>
      <c r="P80" s="536">
        <v>112.82719557725915</v>
      </c>
      <c r="Q80" s="536">
        <v>113.95754168258085</v>
      </c>
      <c r="R80" s="536">
        <v>111.91348392366386</v>
      </c>
      <c r="S80" s="536">
        <v>112.41365020765188</v>
      </c>
      <c r="T80" s="536">
        <v>117.20096699204773</v>
      </c>
      <c r="U80" s="536">
        <v>123.22549774698102</v>
      </c>
      <c r="V80" s="536">
        <v>128.51853044590433</v>
      </c>
      <c r="W80" s="536">
        <v>134.43573134794354</v>
      </c>
      <c r="X80" s="536">
        <v>139.75919964561746</v>
      </c>
      <c r="Y80" s="536">
        <v>146.92530036961776</v>
      </c>
      <c r="Z80" s="536">
        <v>153.6306913062794</v>
      </c>
      <c r="AA80" s="536">
        <v>160.44548875240312</v>
      </c>
      <c r="AB80" s="536">
        <v>166.55339892218339</v>
      </c>
      <c r="AC80" s="536">
        <v>172.6127711599982</v>
      </c>
      <c r="AD80" s="536">
        <v>174.10186110886897</v>
      </c>
      <c r="AE80" s="536">
        <v>176.56030510866</v>
      </c>
      <c r="AF80" s="536">
        <v>165.33011151297302</v>
      </c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>
      <c r="A81" s="17">
        <v>395</v>
      </c>
      <c r="B81" s="17" t="s">
        <v>80</v>
      </c>
      <c r="C81" s="536">
        <v>5.4206659999999998</v>
      </c>
      <c r="D81" s="536">
        <v>5.6585760000000001</v>
      </c>
      <c r="E81" s="536">
        <v>5.8036649999999996</v>
      </c>
      <c r="F81" s="536">
        <v>5.6301220000000001</v>
      </c>
      <c r="G81" s="536">
        <v>5.8849330000000002</v>
      </c>
      <c r="H81" s="536">
        <v>6.0686850000000003</v>
      </c>
      <c r="I81" s="536">
        <v>6.4206960000000004</v>
      </c>
      <c r="J81" s="536">
        <v>7.0059009999999997</v>
      </c>
      <c r="K81" s="536">
        <v>7.0376070000000004</v>
      </c>
      <c r="L81" s="536">
        <v>7.0264329999999999</v>
      </c>
      <c r="M81" s="536">
        <v>7.1301990000000002</v>
      </c>
      <c r="N81" s="536">
        <v>7.1657083406835298</v>
      </c>
      <c r="O81" s="536">
        <v>6.9246845013699083</v>
      </c>
      <c r="P81" s="536">
        <v>6.9706054938560396</v>
      </c>
      <c r="Q81" s="536">
        <v>7.2249532870977502</v>
      </c>
      <c r="R81" s="536">
        <v>7.2346402544989292</v>
      </c>
      <c r="S81" s="536">
        <v>7.6378955890999993</v>
      </c>
      <c r="T81" s="536">
        <v>8.0281654260852644</v>
      </c>
      <c r="U81" s="536">
        <v>8.6634346787599998</v>
      </c>
      <c r="V81" s="536">
        <v>8.9618611936188781</v>
      </c>
      <c r="W81" s="536">
        <v>9.4098530511827096</v>
      </c>
      <c r="X81" s="536">
        <v>9.716682903697178</v>
      </c>
      <c r="Y81" s="536">
        <v>9.6232365371847006</v>
      </c>
      <c r="Z81" s="536">
        <v>9.9513084167143511</v>
      </c>
      <c r="AA81" s="536">
        <v>10.811800567840283</v>
      </c>
      <c r="AB81" s="536">
        <v>11.838198744809985</v>
      </c>
      <c r="AC81" s="536">
        <v>12.493912567709387</v>
      </c>
      <c r="AD81" s="536">
        <v>13.020864660823067</v>
      </c>
      <c r="AE81" s="536">
        <v>12.936684784032</v>
      </c>
      <c r="AF81" s="536">
        <v>11.424040012119001</v>
      </c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>
      <c r="A82" s="17">
        <v>750</v>
      </c>
      <c r="B82" s="17" t="s">
        <v>160</v>
      </c>
      <c r="C82" s="536">
        <v>698.32920000000001</v>
      </c>
      <c r="D82" s="536">
        <v>743.64869999999996</v>
      </c>
      <c r="E82" s="536">
        <v>766.072</v>
      </c>
      <c r="F82" s="536">
        <v>792.66110000000003</v>
      </c>
      <c r="G82" s="536">
        <v>841.52739999999994</v>
      </c>
      <c r="H82" s="536">
        <v>892.89250000000004</v>
      </c>
      <c r="I82" s="536">
        <v>927.28150000000005</v>
      </c>
      <c r="J82" s="536">
        <v>980.18640000000005</v>
      </c>
      <c r="K82" s="536">
        <v>1060.8309999999999</v>
      </c>
      <c r="L82" s="536">
        <v>1112.335</v>
      </c>
      <c r="M82" s="536">
        <v>1179.473</v>
      </c>
      <c r="N82" s="536">
        <v>1172.1300423346779</v>
      </c>
      <c r="O82" s="536">
        <v>1219.5361206050543</v>
      </c>
      <c r="P82" s="536">
        <v>1246.6817038890927</v>
      </c>
      <c r="Q82" s="536">
        <v>1318.4846777394264</v>
      </c>
      <c r="R82" s="536">
        <v>1440.3336716813931</v>
      </c>
      <c r="S82" s="536">
        <v>1501.3515844544174</v>
      </c>
      <c r="T82" s="536">
        <v>1556.8779221649513</v>
      </c>
      <c r="U82" s="536">
        <v>1639.5148199568475</v>
      </c>
      <c r="V82" s="536">
        <v>1829.6469322402502</v>
      </c>
      <c r="W82" s="536">
        <v>1871.9634840673602</v>
      </c>
      <c r="X82" s="536">
        <v>1963.1330803621809</v>
      </c>
      <c r="Y82" s="536">
        <v>2062.1251862363852</v>
      </c>
      <c r="Z82" s="536">
        <v>2176.829492204683</v>
      </c>
      <c r="AA82" s="536">
        <v>2417.1966400750503</v>
      </c>
      <c r="AB82" s="536">
        <v>2788.8120701546295</v>
      </c>
      <c r="AC82" s="536">
        <v>3057.5768075868118</v>
      </c>
      <c r="AD82" s="536">
        <v>3372.2775870542819</v>
      </c>
      <c r="AE82" s="536">
        <v>3512.0597944968717</v>
      </c>
      <c r="AF82" s="536">
        <v>3745.8472241302316</v>
      </c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>
      <c r="A83" s="17">
        <v>850</v>
      </c>
      <c r="B83" s="17" t="s">
        <v>176</v>
      </c>
      <c r="C83" s="536">
        <v>240.61799999999999</v>
      </c>
      <c r="D83" s="536">
        <v>253.83320000000001</v>
      </c>
      <c r="E83" s="536">
        <v>255.6994</v>
      </c>
      <c r="F83" s="536">
        <v>276.5643</v>
      </c>
      <c r="G83" s="536">
        <v>296.38670000000002</v>
      </c>
      <c r="H83" s="536">
        <v>307.17790000000002</v>
      </c>
      <c r="I83" s="536">
        <v>325.12329999999997</v>
      </c>
      <c r="J83" s="536">
        <v>339.32600000000002</v>
      </c>
      <c r="K83" s="536">
        <v>359.6576</v>
      </c>
      <c r="L83" s="536">
        <v>393.6807</v>
      </c>
      <c r="M83" s="536">
        <v>427.05220000000003</v>
      </c>
      <c r="N83" s="536">
        <v>465.26056607918758</v>
      </c>
      <c r="O83" s="536">
        <v>498.70863853727809</v>
      </c>
      <c r="P83" s="536">
        <v>533.18349262149195</v>
      </c>
      <c r="Q83" s="536">
        <v>574.48982935683841</v>
      </c>
      <c r="R83" s="536">
        <v>620.86284171126204</v>
      </c>
      <c r="S83" s="536">
        <v>667.00986653205507</v>
      </c>
      <c r="T83" s="536">
        <v>697.54485339048301</v>
      </c>
      <c r="U83" s="536">
        <v>596.28888929986613</v>
      </c>
      <c r="V83" s="536">
        <v>593.47933406900518</v>
      </c>
      <c r="W83" s="536">
        <v>624.51597953652822</v>
      </c>
      <c r="X83" s="536">
        <v>649.35446174843798</v>
      </c>
      <c r="Y83" s="536">
        <v>671.49757995386346</v>
      </c>
      <c r="Z83" s="536">
        <v>719.18406389735821</v>
      </c>
      <c r="AA83" s="536">
        <v>740.73116328351307</v>
      </c>
      <c r="AB83" s="536">
        <v>788.89881859926743</v>
      </c>
      <c r="AC83" s="536">
        <v>816.97016348695331</v>
      </c>
      <c r="AD83" s="536">
        <v>851.05249083216859</v>
      </c>
      <c r="AE83" s="536">
        <v>918.66165635631194</v>
      </c>
      <c r="AF83" s="536">
        <v>978.82599207601288</v>
      </c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>
      <c r="A84" s="17">
        <v>205</v>
      </c>
      <c r="B84" s="17" t="s">
        <v>36</v>
      </c>
      <c r="C84" s="536">
        <v>47.662820000000004</v>
      </c>
      <c r="D84" s="536">
        <v>49.207380000000001</v>
      </c>
      <c r="E84" s="536">
        <v>49.071120000000001</v>
      </c>
      <c r="F84" s="536">
        <v>48.403219999999997</v>
      </c>
      <c r="G84" s="536">
        <v>49.562420000000003</v>
      </c>
      <c r="H84" s="536">
        <v>50.528750000000002</v>
      </c>
      <c r="I84" s="536">
        <v>50.634140000000002</v>
      </c>
      <c r="J84" s="536">
        <v>51.496189999999999</v>
      </c>
      <c r="K84" s="536">
        <v>53.233110000000003</v>
      </c>
      <c r="L84" s="536">
        <v>56.476860000000002</v>
      </c>
      <c r="M84" s="536">
        <v>61.02216</v>
      </c>
      <c r="N84" s="536">
        <v>61.787336359628362</v>
      </c>
      <c r="O84" s="536">
        <v>63.003470995591726</v>
      </c>
      <c r="P84" s="536">
        <v>64.444743987822548</v>
      </c>
      <c r="Q84" s="536">
        <v>68.378636244492895</v>
      </c>
      <c r="R84" s="536">
        <v>75.156843555286699</v>
      </c>
      <c r="S84" s="536">
        <v>81.609213878121537</v>
      </c>
      <c r="T84" s="536">
        <v>90.69203068856099</v>
      </c>
      <c r="U84" s="536">
        <v>97.501615583247982</v>
      </c>
      <c r="V84" s="536">
        <v>107.580681779975</v>
      </c>
      <c r="W84" s="536">
        <v>117.59636943545401</v>
      </c>
      <c r="X84" s="536">
        <v>124.51820697440401</v>
      </c>
      <c r="Y84" s="536">
        <v>132.94940594395501</v>
      </c>
      <c r="Z84" s="536">
        <v>140.11111604774999</v>
      </c>
      <c r="AA84" s="536">
        <v>145.069853073784</v>
      </c>
      <c r="AB84" s="536">
        <v>155.49915650946301</v>
      </c>
      <c r="AC84" s="536">
        <v>163.26326235672698</v>
      </c>
      <c r="AD84" s="536">
        <v>173.12265481341998</v>
      </c>
      <c r="AE84" s="536">
        <v>168.00506520877803</v>
      </c>
      <c r="AF84" s="536">
        <v>152.99739253675997</v>
      </c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>
      <c r="A85" s="17">
        <v>630</v>
      </c>
      <c r="B85" s="17" t="s">
        <v>133</v>
      </c>
      <c r="C85" s="536">
        <v>225.3135</v>
      </c>
      <c r="D85" s="536">
        <v>224.5968</v>
      </c>
      <c r="E85" s="536">
        <v>281.95429999999999</v>
      </c>
      <c r="F85" s="536">
        <v>306.9271</v>
      </c>
      <c r="G85" s="536">
        <v>308.37380000000002</v>
      </c>
      <c r="H85" s="536">
        <v>305.25839999999999</v>
      </c>
      <c r="I85" s="536">
        <v>274.91250000000002</v>
      </c>
      <c r="J85" s="536">
        <v>296.02670000000001</v>
      </c>
      <c r="K85" s="536">
        <v>305.8793</v>
      </c>
      <c r="L85" s="536">
        <v>308.03500000000003</v>
      </c>
      <c r="M85" s="536">
        <v>342.464</v>
      </c>
      <c r="N85" s="536">
        <v>367.14203617492961</v>
      </c>
      <c r="O85" s="536">
        <v>392.60613642271204</v>
      </c>
      <c r="P85" s="536">
        <v>426.45833295553001</v>
      </c>
      <c r="Q85" s="536">
        <v>462.823026001426</v>
      </c>
      <c r="R85" s="536">
        <v>439.65113517739678</v>
      </c>
      <c r="S85" s="536">
        <v>457.73197280406805</v>
      </c>
      <c r="T85" s="536">
        <v>466.33827701750579</v>
      </c>
      <c r="U85" s="536">
        <v>493.9861185088476</v>
      </c>
      <c r="V85" s="536">
        <v>510.75739761411637</v>
      </c>
      <c r="W85" s="536">
        <v>532.98806749915275</v>
      </c>
      <c r="X85" s="536">
        <v>535.00535509836129</v>
      </c>
      <c r="Y85" s="536">
        <v>557.93799727499049</v>
      </c>
      <c r="Z85" s="536">
        <v>590.09721471383762</v>
      </c>
      <c r="AA85" s="536">
        <v>605.41555602851997</v>
      </c>
      <c r="AB85" s="536">
        <v>660.53919340522998</v>
      </c>
      <c r="AC85" s="536">
        <v>702.73214223450873</v>
      </c>
      <c r="AD85" s="536">
        <v>745.31076951922603</v>
      </c>
      <c r="AE85" s="536">
        <v>798.29601330110006</v>
      </c>
      <c r="AF85" s="536">
        <v>806.77937380716799</v>
      </c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>
      <c r="A86" s="17">
        <v>645</v>
      </c>
      <c r="B86" s="17" t="s">
        <v>135</v>
      </c>
      <c r="C86" s="536">
        <v>138.72319999999999</v>
      </c>
      <c r="D86" s="536">
        <v>114.2906</v>
      </c>
      <c r="E86" s="536">
        <v>114.5487</v>
      </c>
      <c r="F86" s="536">
        <v>106.0459</v>
      </c>
      <c r="G86" s="536">
        <v>106.43219999999999</v>
      </c>
      <c r="H86" s="536">
        <v>105.63420000000001</v>
      </c>
      <c r="I86" s="536">
        <v>115.0729</v>
      </c>
      <c r="J86" s="536">
        <v>136.28659999999999</v>
      </c>
      <c r="K86" s="536">
        <v>141.2859</v>
      </c>
      <c r="L86" s="536">
        <v>129.84370000000001</v>
      </c>
      <c r="M86" s="536">
        <v>129.64490000000001</v>
      </c>
      <c r="N86" s="536">
        <v>43.920433628849196</v>
      </c>
      <c r="O86" s="536">
        <v>55.206233489247595</v>
      </c>
      <c r="P86" s="536">
        <v>82.667908328382907</v>
      </c>
      <c r="Q86" s="536">
        <v>78.378189743062393</v>
      </c>
      <c r="R86" s="536">
        <v>63.867360327758803</v>
      </c>
      <c r="S86" s="536">
        <v>94.981204480643981</v>
      </c>
      <c r="T86" s="536">
        <v>58.677138114593404</v>
      </c>
      <c r="U86" s="536">
        <v>79.720887275414114</v>
      </c>
      <c r="V86" s="536">
        <v>94.964292448586392</v>
      </c>
      <c r="W86" s="536">
        <v>96.246961920157702</v>
      </c>
      <c r="X86" s="536">
        <v>98.920494717628998</v>
      </c>
      <c r="Y86" s="536">
        <v>91.255400638989997</v>
      </c>
      <c r="Z86" s="536">
        <v>60.028278349395507</v>
      </c>
      <c r="AA86" s="536">
        <v>94.008325879228806</v>
      </c>
      <c r="AB86" s="536">
        <v>97.972174010405993</v>
      </c>
      <c r="AC86" s="536">
        <v>107.6605798051008</v>
      </c>
      <c r="AD86" s="536">
        <v>108.58623752349999</v>
      </c>
      <c r="AE86" s="536">
        <v>116.068885583244</v>
      </c>
      <c r="AF86" s="536">
        <v>136.3046712489394</v>
      </c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>
      <c r="A87" s="17">
        <v>666</v>
      </c>
      <c r="B87" s="17" t="s">
        <v>140</v>
      </c>
      <c r="C87" s="536">
        <v>57.041759999999996</v>
      </c>
      <c r="D87" s="536">
        <v>60.152270000000001</v>
      </c>
      <c r="E87" s="536">
        <v>61.551540000000003</v>
      </c>
      <c r="F87" s="536">
        <v>63.885330000000003</v>
      </c>
      <c r="G87" s="536">
        <v>63.909640000000003</v>
      </c>
      <c r="H87" s="536">
        <v>65.175160000000005</v>
      </c>
      <c r="I87" s="536">
        <v>68.027330000000006</v>
      </c>
      <c r="J87" s="536">
        <v>73.542770000000004</v>
      </c>
      <c r="K87" s="536">
        <v>75.18329</v>
      </c>
      <c r="L87" s="536">
        <v>74.939120000000003</v>
      </c>
      <c r="M87" s="536">
        <v>80.945049999999995</v>
      </c>
      <c r="N87" s="6">
        <v>88.552085041516506</v>
      </c>
      <c r="O87" s="6">
        <v>94.720400663316241</v>
      </c>
      <c r="P87" s="6">
        <v>98.49465143256819</v>
      </c>
      <c r="Q87" s="6">
        <v>105.45129958695858</v>
      </c>
      <c r="R87" s="6">
        <v>112.72518376357895</v>
      </c>
      <c r="S87" s="6">
        <v>119.40715963936627</v>
      </c>
      <c r="T87" s="6">
        <v>122.54941438077422</v>
      </c>
      <c r="U87" s="6">
        <v>127.28942540853825</v>
      </c>
      <c r="V87" s="6">
        <v>130.73356488905384</v>
      </c>
      <c r="W87" s="6">
        <v>141.74078059257002</v>
      </c>
      <c r="X87" s="6">
        <v>140.66190545450402</v>
      </c>
      <c r="Y87" s="6">
        <v>138.93570650869</v>
      </c>
      <c r="Z87" s="6">
        <v>141.68188796005199</v>
      </c>
      <c r="AA87" s="6">
        <v>148.650903564354</v>
      </c>
      <c r="AB87" s="6">
        <v>160.57978565573998</v>
      </c>
      <c r="AC87" s="6">
        <v>169.097794759089</v>
      </c>
      <c r="AD87" s="6">
        <v>178.06036727238001</v>
      </c>
      <c r="AE87" s="6">
        <v>185.46512819016002</v>
      </c>
      <c r="AF87" s="6">
        <v>184.89439161400199</v>
      </c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</row>
    <row r="88" spans="1:48">
      <c r="A88" s="17">
        <v>325</v>
      </c>
      <c r="B88" s="17" t="s">
        <v>53</v>
      </c>
      <c r="C88" s="536">
        <v>1113.412</v>
      </c>
      <c r="D88" s="536">
        <v>1121.8699999999999</v>
      </c>
      <c r="E88" s="536">
        <v>1127.6010000000001</v>
      </c>
      <c r="F88" s="536">
        <v>1137.404</v>
      </c>
      <c r="G88" s="536">
        <v>1176.77</v>
      </c>
      <c r="H88" s="536">
        <v>1210.2940000000001</v>
      </c>
      <c r="I88" s="536">
        <v>1246.819</v>
      </c>
      <c r="J88" s="536">
        <v>1287.462</v>
      </c>
      <c r="K88" s="536">
        <v>1341.423</v>
      </c>
      <c r="L88" s="536">
        <v>1387.0039999999999</v>
      </c>
      <c r="M88" s="536">
        <v>1415.412</v>
      </c>
      <c r="N88" s="6">
        <v>1436.0588859974548</v>
      </c>
      <c r="O88" s="6">
        <v>1445.4854934515081</v>
      </c>
      <c r="P88" s="6">
        <v>1441.842262208532</v>
      </c>
      <c r="Q88" s="6">
        <v>1474.2921978824879</v>
      </c>
      <c r="R88" s="6">
        <v>1519.78627921169</v>
      </c>
      <c r="S88" s="6">
        <v>1530.19712510714</v>
      </c>
      <c r="T88" s="6">
        <v>1558.3339105093389</v>
      </c>
      <c r="U88" s="6">
        <v>1578.9508285416209</v>
      </c>
      <c r="V88" s="6">
        <v>1609.5549476332878</v>
      </c>
      <c r="W88" s="6">
        <v>1668.897396676552</v>
      </c>
      <c r="X88" s="6">
        <v>1699.261650307923</v>
      </c>
      <c r="Y88" s="6">
        <v>1706.4815890571369</v>
      </c>
      <c r="Z88" s="6">
        <v>1705.630057945536</v>
      </c>
      <c r="AA88" s="6">
        <v>1726.4728917167758</v>
      </c>
      <c r="AB88" s="6">
        <v>1734.2831013297441</v>
      </c>
      <c r="AC88" s="6">
        <v>1773.155571638468</v>
      </c>
      <c r="AD88" s="6">
        <v>1800.7111022360079</v>
      </c>
      <c r="AE88" s="6">
        <v>1772.689756400134</v>
      </c>
      <c r="AF88" s="6">
        <v>1675.315033199676</v>
      </c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</row>
    <row r="89" spans="1:48">
      <c r="A89" s="17">
        <v>51</v>
      </c>
      <c r="B89" s="17" t="s">
        <v>6</v>
      </c>
      <c r="C89" s="536">
        <v>13.902290000000001</v>
      </c>
      <c r="D89" s="536">
        <v>14.27253</v>
      </c>
      <c r="E89" s="536">
        <v>14.518140000000001</v>
      </c>
      <c r="F89" s="536">
        <v>14.753410000000001</v>
      </c>
      <c r="G89" s="536">
        <v>14.45603</v>
      </c>
      <c r="H89" s="536">
        <v>13.736190000000001</v>
      </c>
      <c r="I89" s="536">
        <v>13.9748</v>
      </c>
      <c r="J89" s="536">
        <v>15.04134</v>
      </c>
      <c r="K89" s="536">
        <v>15.504149999999999</v>
      </c>
      <c r="L89" s="536">
        <v>16.46088</v>
      </c>
      <c r="M89" s="536">
        <v>17.386800000000001</v>
      </c>
      <c r="N89" s="6">
        <v>17.432910361164751</v>
      </c>
      <c r="O89" s="6">
        <v>19.076282169077299</v>
      </c>
      <c r="P89" s="6">
        <v>19.601216528744189</v>
      </c>
      <c r="Q89" s="6">
        <v>19.700821304896841</v>
      </c>
      <c r="R89" s="6">
        <v>19.848559450052424</v>
      </c>
      <c r="S89" s="6">
        <v>20.091483795399988</v>
      </c>
      <c r="T89" s="6">
        <v>22.560635696303489</v>
      </c>
      <c r="U89" s="6">
        <v>22.394369802249052</v>
      </c>
      <c r="V89" s="6">
        <v>22.525951692639758</v>
      </c>
      <c r="W89" s="6">
        <v>22.756056402947419</v>
      </c>
      <c r="X89" s="6">
        <v>23.04067640838165</v>
      </c>
      <c r="Y89" s="6">
        <v>23.302598396101281</v>
      </c>
      <c r="Z89" s="6">
        <v>24.061921197785111</v>
      </c>
      <c r="AA89" s="6">
        <v>24.285826870889657</v>
      </c>
      <c r="AB89" s="6">
        <v>24.658982811461502</v>
      </c>
      <c r="AC89" s="6">
        <v>25.340714800159788</v>
      </c>
      <c r="AD89" s="6">
        <v>25.685505231857562</v>
      </c>
      <c r="AE89" s="6">
        <v>25.547380822862397</v>
      </c>
      <c r="AF89" s="536">
        <v>24.871298280931796</v>
      </c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</row>
    <row r="90" spans="1:48">
      <c r="A90" s="17">
        <v>663</v>
      </c>
      <c r="B90" s="17" t="s">
        <v>139</v>
      </c>
      <c r="C90" s="536">
        <v>10.6113</v>
      </c>
      <c r="D90" s="536">
        <v>12.03384</v>
      </c>
      <c r="E90" s="536">
        <v>11.73821</v>
      </c>
      <c r="F90" s="536">
        <v>11.29106</v>
      </c>
      <c r="G90" s="536">
        <v>12.089259999999999</v>
      </c>
      <c r="H90" s="536">
        <v>11.31284</v>
      </c>
      <c r="I90" s="536">
        <v>12.35089</v>
      </c>
      <c r="J90" s="536">
        <v>13.306100000000001</v>
      </c>
      <c r="K90" s="536">
        <v>13.262409999999999</v>
      </c>
      <c r="L90" s="536">
        <v>11.81531</v>
      </c>
      <c r="M90" s="536">
        <v>12.374980000000001</v>
      </c>
      <c r="N90" s="6">
        <v>11.8088417965395</v>
      </c>
      <c r="O90" s="6">
        <v>13.7439962164764</v>
      </c>
      <c r="P90" s="6">
        <v>15.2415785424429</v>
      </c>
      <c r="Q90" s="6">
        <v>15.927852324577</v>
      </c>
      <c r="R90" s="6">
        <v>16.562102479113598</v>
      </c>
      <c r="S90" s="6">
        <v>16.7399427527222</v>
      </c>
      <c r="T90" s="6">
        <v>16.712246132764999</v>
      </c>
      <c r="U90" s="6">
        <v>16.4082292244325</v>
      </c>
      <c r="V90" s="6">
        <v>17.421392766305498</v>
      </c>
      <c r="W90" s="6">
        <v>17.308090262825601</v>
      </c>
      <c r="X90" s="6">
        <v>17.8816169773668</v>
      </c>
      <c r="Y90" s="6">
        <v>19.0587418476366</v>
      </c>
      <c r="Z90" s="6">
        <v>20.248329134927602</v>
      </c>
      <c r="AA90" s="6">
        <v>22.373556232720802</v>
      </c>
      <c r="AB90" s="6">
        <v>23.045851544564002</v>
      </c>
      <c r="AC90" s="6">
        <v>24.590583013584499</v>
      </c>
      <c r="AD90" s="6">
        <v>26.463839158551302</v>
      </c>
      <c r="AE90" s="6">
        <v>28.395372489278696</v>
      </c>
      <c r="AF90" s="6">
        <v>29.124256260054402</v>
      </c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</row>
    <row r="91" spans="1:48">
      <c r="A91" s="17">
        <v>740</v>
      </c>
      <c r="B91" s="17" t="s">
        <v>159</v>
      </c>
      <c r="C91" s="536">
        <v>2394.5839999999998</v>
      </c>
      <c r="D91" s="536">
        <v>2461.9639999999999</v>
      </c>
      <c r="E91" s="536">
        <v>2529.665</v>
      </c>
      <c r="F91" s="536">
        <v>2570.75</v>
      </c>
      <c r="G91" s="536">
        <v>2643.5279999999998</v>
      </c>
      <c r="H91" s="536">
        <v>2780.828</v>
      </c>
      <c r="I91" s="536">
        <v>2869.404</v>
      </c>
      <c r="J91" s="536">
        <v>2975.53</v>
      </c>
      <c r="K91" s="536">
        <v>3174.357</v>
      </c>
      <c r="L91" s="536">
        <v>3334.7559999999999</v>
      </c>
      <c r="M91" s="536">
        <v>3513.8519999999999</v>
      </c>
      <c r="N91" s="6">
        <v>3621.465808294392</v>
      </c>
      <c r="O91" s="6">
        <v>3653.2796668151368</v>
      </c>
      <c r="P91" s="6">
        <v>3659.4090076872462</v>
      </c>
      <c r="Q91" s="6">
        <v>3687.6959872099196</v>
      </c>
      <c r="R91" s="6">
        <v>3756.2234420929663</v>
      </c>
      <c r="S91" s="6">
        <v>3851.3128772809264</v>
      </c>
      <c r="T91" s="6">
        <v>3905.0467009895178</v>
      </c>
      <c r="U91" s="6">
        <v>3818.5148223577767</v>
      </c>
      <c r="V91" s="6">
        <v>3805.7749904145621</v>
      </c>
      <c r="W91" s="6">
        <v>3921.2656825207027</v>
      </c>
      <c r="X91" s="6">
        <v>3932.7812721728524</v>
      </c>
      <c r="Y91" s="6">
        <v>3938.3485053021659</v>
      </c>
      <c r="Z91" s="6">
        <v>3986.838316930035</v>
      </c>
      <c r="AA91" s="6">
        <v>4094.3578618785518</v>
      </c>
      <c r="AB91" s="6">
        <v>4178.2618945378226</v>
      </c>
      <c r="AC91" s="6">
        <v>4261.9809918960837</v>
      </c>
      <c r="AD91" s="6">
        <v>4361.2544225242364</v>
      </c>
      <c r="AE91" s="6">
        <v>4295.2474209009124</v>
      </c>
      <c r="AF91" s="6">
        <v>4064.0268374759503</v>
      </c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</row>
    <row r="92" spans="1:48">
      <c r="A92" s="17">
        <v>501</v>
      </c>
      <c r="B92" s="17" t="s">
        <v>106</v>
      </c>
      <c r="C92" s="536">
        <v>18.689920000000001</v>
      </c>
      <c r="D92" s="536">
        <v>18.893550000000001</v>
      </c>
      <c r="E92" s="536">
        <v>19.290990000000001</v>
      </c>
      <c r="F92" s="536">
        <v>19.235420000000001</v>
      </c>
      <c r="G92" s="536">
        <v>19.99907</v>
      </c>
      <c r="H92" s="536">
        <v>20.133089999999999</v>
      </c>
      <c r="I92" s="536">
        <v>22.262699999999999</v>
      </c>
      <c r="J92" s="536">
        <v>23.722819999999999</v>
      </c>
      <c r="K92" s="536">
        <v>25.330290000000002</v>
      </c>
      <c r="L92" s="536">
        <v>26.648980000000002</v>
      </c>
      <c r="M92" s="536">
        <v>27.70157</v>
      </c>
      <c r="N92" s="6">
        <v>28.117973430704026</v>
      </c>
      <c r="O92" s="6">
        <v>27.814570169069626</v>
      </c>
      <c r="P92" s="6">
        <v>28.198947147398531</v>
      </c>
      <c r="Q92" s="6">
        <v>29.317611351080476</v>
      </c>
      <c r="R92" s="6">
        <v>30.639817494163623</v>
      </c>
      <c r="S92" s="6">
        <v>31.800882600448524</v>
      </c>
      <c r="T92" s="6">
        <v>31.311637117050328</v>
      </c>
      <c r="U92" s="6">
        <v>32.779652829063195</v>
      </c>
      <c r="V92" s="6">
        <v>34.323971879738913</v>
      </c>
      <c r="W92" s="6">
        <v>34.560779711448866</v>
      </c>
      <c r="X92" s="6">
        <v>34.944037641457236</v>
      </c>
      <c r="Y92" s="6">
        <v>36.202132913017785</v>
      </c>
      <c r="Z92" s="6">
        <v>38.202064328256533</v>
      </c>
      <c r="AA92" s="6">
        <v>39.024856773369322</v>
      </c>
      <c r="AB92" s="6">
        <v>40.917115317911886</v>
      </c>
      <c r="AC92" s="6">
        <v>42.596397520779952</v>
      </c>
      <c r="AD92" s="6">
        <v>45.531686982491955</v>
      </c>
      <c r="AE92" s="6">
        <v>45.653451693857001</v>
      </c>
      <c r="AF92" s="6">
        <v>47.013180112607103</v>
      </c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</row>
    <row r="93" spans="1:48" ht="15.75" customHeight="1">
      <c r="A93" s="17">
        <v>946</v>
      </c>
      <c r="B93" s="17" t="s">
        <v>182</v>
      </c>
      <c r="C93" s="536">
        <v>9.6618999999999997E-2</v>
      </c>
      <c r="D93" s="536">
        <v>0.1019167</v>
      </c>
      <c r="E93" s="536">
        <v>0.1106898</v>
      </c>
      <c r="F93" s="536">
        <v>9.9212999999999996E-2</v>
      </c>
      <c r="G93" s="536">
        <v>0.1068823</v>
      </c>
      <c r="H93" s="536">
        <v>0.1022864</v>
      </c>
      <c r="I93" s="536">
        <v>0.1036897</v>
      </c>
      <c r="J93" s="536">
        <v>0.1008444</v>
      </c>
      <c r="K93" s="536">
        <v>0.11626350000000001</v>
      </c>
      <c r="L93" s="536">
        <v>0.1086734</v>
      </c>
      <c r="M93" s="536">
        <v>0.11261930000000001</v>
      </c>
      <c r="N93" s="6">
        <v>0.1181224777993064</v>
      </c>
      <c r="O93" s="6">
        <v>0.1189339470551805</v>
      </c>
      <c r="P93" s="6">
        <v>0.12295229564042499</v>
      </c>
      <c r="Q93" s="6">
        <v>0.13083972153540957</v>
      </c>
      <c r="R93" s="6">
        <v>0.12550512799893598</v>
      </c>
      <c r="S93" s="6">
        <v>0.14116346755962311</v>
      </c>
      <c r="T93" s="6">
        <v>0.2871228971625312</v>
      </c>
      <c r="U93" s="6">
        <v>0.31417307079445167</v>
      </c>
      <c r="V93" s="6">
        <v>0.31762870558946033</v>
      </c>
      <c r="W93" s="6">
        <v>0.3358450681809646</v>
      </c>
      <c r="X93" s="6">
        <v>0.32382919707064384</v>
      </c>
      <c r="Y93" s="6">
        <v>0.34696132003360924</v>
      </c>
      <c r="Z93" s="6">
        <v>0.36377403666422259</v>
      </c>
      <c r="AA93" s="6">
        <v>0.36168034912901248</v>
      </c>
      <c r="AB93" s="6">
        <v>0.38332177745894641</v>
      </c>
      <c r="AC93" s="6">
        <v>0.39443777868209434</v>
      </c>
      <c r="AD93" s="6">
        <v>0.39098266614640803</v>
      </c>
      <c r="AE93" s="6">
        <v>0.40405825381877342</v>
      </c>
      <c r="AF93" s="6">
        <v>0.40121595426632006</v>
      </c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</row>
    <row r="94" spans="1:48">
      <c r="A94" s="17">
        <v>690</v>
      </c>
      <c r="B94" s="17" t="s">
        <v>143</v>
      </c>
      <c r="C94" s="536"/>
      <c r="D94" s="536"/>
      <c r="E94" s="536"/>
      <c r="F94" s="536"/>
      <c r="G94" s="536"/>
      <c r="H94" s="536"/>
      <c r="I94" s="536">
        <v>55.606310000000001</v>
      </c>
      <c r="J94" s="536">
        <v>57.910530000000001</v>
      </c>
      <c r="K94" s="536">
        <v>57.889919999999996</v>
      </c>
      <c r="L94" s="536">
        <v>67.984039999999993</v>
      </c>
      <c r="M94" s="536">
        <v>51.63505</v>
      </c>
      <c r="N94" s="6">
        <v>31.493966428909772</v>
      </c>
      <c r="O94" s="6">
        <v>54.874161714066652</v>
      </c>
      <c r="P94" s="6">
        <v>70.891460175224609</v>
      </c>
      <c r="Q94" s="6">
        <v>72.565167205258632</v>
      </c>
      <c r="R94" s="6">
        <v>76.722684351498415</v>
      </c>
      <c r="S94" s="6">
        <v>77.895325994727315</v>
      </c>
      <c r="T94" s="6">
        <v>76.360170161455272</v>
      </c>
      <c r="U94" s="6">
        <v>75.960483115950638</v>
      </c>
      <c r="V94" s="6">
        <v>72.924058633704902</v>
      </c>
      <c r="W94" s="6">
        <v>76.519484873951995</v>
      </c>
      <c r="X94" s="6">
        <v>77.319937980480006</v>
      </c>
      <c r="Y94" s="6">
        <v>77.64589611856799</v>
      </c>
      <c r="Z94" s="6">
        <v>93.684335011740004</v>
      </c>
      <c r="AA94" s="6">
        <v>103.33325772119998</v>
      </c>
      <c r="AB94" s="6">
        <v>111.061880613962</v>
      </c>
      <c r="AC94" s="6">
        <v>119.25008619827101</v>
      </c>
      <c r="AD94" s="6">
        <v>122.62267192903199</v>
      </c>
      <c r="AE94" s="6">
        <v>123.32819613802199</v>
      </c>
      <c r="AF94" s="6">
        <v>116.353696654377</v>
      </c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>
      <c r="A95" s="17">
        <v>703</v>
      </c>
      <c r="B95" s="17" t="s">
        <v>151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>
        <v>7.8369175707473309</v>
      </c>
      <c r="Q95" s="6">
        <v>6.400819382793359</v>
      </c>
      <c r="R95" s="6">
        <v>5.9334050857943375</v>
      </c>
      <c r="S95" s="6">
        <v>6.3325872150717561</v>
      </c>
      <c r="T95" s="6">
        <v>7.3187352940868049</v>
      </c>
      <c r="U95" s="6">
        <v>7.6678662842804872</v>
      </c>
      <c r="V95" s="6">
        <v>7.7503660433172303</v>
      </c>
      <c r="W95" s="6">
        <v>7.9951337114206433</v>
      </c>
      <c r="X95" s="6">
        <v>8.4545412593490816</v>
      </c>
      <c r="Y95" s="6">
        <v>8.504589503384425</v>
      </c>
      <c r="Z95" s="6">
        <v>9.3850409799832804</v>
      </c>
      <c r="AA95" s="6">
        <v>9.9573947660556534</v>
      </c>
      <c r="AB95" s="6">
        <v>9.9344828952107402</v>
      </c>
      <c r="AC95" s="6">
        <v>10.156041087062722</v>
      </c>
      <c r="AD95" s="6">
        <v>10.74986362865358</v>
      </c>
      <c r="AE95" s="6">
        <v>11.733171238518398</v>
      </c>
      <c r="AF95" s="6">
        <v>12.495953140227201</v>
      </c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>
      <c r="A96" s="17">
        <v>705</v>
      </c>
      <c r="B96" s="17" t="s">
        <v>153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>
        <v>91.110386831495134</v>
      </c>
      <c r="Q96" s="6">
        <v>87.352068370115191</v>
      </c>
      <c r="R96" s="6">
        <v>75.532355620852243</v>
      </c>
      <c r="S96" s="6">
        <v>74.725379396702877</v>
      </c>
      <c r="T96" s="6">
        <v>73.3375798596104</v>
      </c>
      <c r="U96" s="6">
        <v>68.575597113054286</v>
      </c>
      <c r="V96" s="6">
        <v>71.498705886759382</v>
      </c>
      <c r="W96" s="6">
        <v>76.932583366065728</v>
      </c>
      <c r="X96" s="6">
        <v>87.069321386457247</v>
      </c>
      <c r="Y96" s="6">
        <v>94.124452182841466</v>
      </c>
      <c r="Z96" s="6">
        <v>111.1521659640961</v>
      </c>
      <c r="AA96" s="6">
        <v>124.17571566146624</v>
      </c>
      <c r="AB96" s="6">
        <v>135.68480595274514</v>
      </c>
      <c r="AC96" s="6">
        <v>154.31333768895564</v>
      </c>
      <c r="AD96" s="6">
        <v>165.76523781275085</v>
      </c>
      <c r="AE96" s="6">
        <v>174.94006513140602</v>
      </c>
      <c r="AF96" s="6">
        <v>180.67548255732899</v>
      </c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>
      <c r="A97" s="17">
        <v>812</v>
      </c>
      <c r="B97" s="17" t="s">
        <v>170</v>
      </c>
      <c r="C97" s="536">
        <v>2.5943200000000002</v>
      </c>
      <c r="D97" s="536">
        <v>2.9926550000000001</v>
      </c>
      <c r="E97" s="536">
        <v>3.1322329999999998</v>
      </c>
      <c r="F97" s="536">
        <v>3.246661</v>
      </c>
      <c r="G97" s="536">
        <v>3.3364929999999999</v>
      </c>
      <c r="H97" s="536">
        <v>3.8333550000000001</v>
      </c>
      <c r="I97" s="536">
        <v>3.9345379999999999</v>
      </c>
      <c r="J97" s="536">
        <v>3.8772489999999999</v>
      </c>
      <c r="K97" s="536">
        <v>3.960461</v>
      </c>
      <c r="L97" s="536">
        <v>4.4045189999999996</v>
      </c>
      <c r="M97" s="536">
        <v>4.666925</v>
      </c>
      <c r="N97" s="6">
        <v>4.8636094609485001</v>
      </c>
      <c r="O97" s="6">
        <v>5.1838625254338</v>
      </c>
      <c r="P97" s="6">
        <v>5.5011456029312988</v>
      </c>
      <c r="Q97" s="6">
        <v>5.9494635547287995</v>
      </c>
      <c r="R97" s="6">
        <v>6.3847769593407993</v>
      </c>
      <c r="S97" s="6">
        <v>6.8561961985156001</v>
      </c>
      <c r="T97" s="6">
        <v>6.7250626264815008</v>
      </c>
      <c r="U97" s="6">
        <v>6.8911233667887997</v>
      </c>
      <c r="V97" s="6">
        <v>7.2312231272556007</v>
      </c>
      <c r="W97" s="6">
        <v>7.7726595889614005</v>
      </c>
      <c r="X97" s="6">
        <v>8.2284034992237007</v>
      </c>
      <c r="Y97" s="6">
        <v>8.7001822222144014</v>
      </c>
      <c r="Z97" s="6">
        <v>9.1949899068566001</v>
      </c>
      <c r="AA97" s="6">
        <v>9.841830436295</v>
      </c>
      <c r="AB97" s="6">
        <v>10.7571059770892</v>
      </c>
      <c r="AC97" s="6">
        <v>11.8858605648336</v>
      </c>
      <c r="AD97" s="6">
        <v>14.114283506524</v>
      </c>
      <c r="AE97" s="6">
        <v>15.225537691668499</v>
      </c>
      <c r="AF97" s="6">
        <v>16.493821585973201</v>
      </c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>
      <c r="A98" s="17">
        <v>367</v>
      </c>
      <c r="B98" s="17" t="s">
        <v>69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>
        <v>15.45540675234693</v>
      </c>
      <c r="Q98" s="6">
        <v>15.538639650183493</v>
      </c>
      <c r="R98" s="6">
        <v>15.436544576582365</v>
      </c>
      <c r="S98" s="6">
        <v>15.986272023608658</v>
      </c>
      <c r="T98" s="6">
        <v>17.287796105744754</v>
      </c>
      <c r="U98" s="6">
        <v>17.869068542707002</v>
      </c>
      <c r="V98" s="6">
        <v>18.41846936329944</v>
      </c>
      <c r="W98" s="6">
        <v>19.71302455740279</v>
      </c>
      <c r="X98" s="6">
        <v>21.10007890841198</v>
      </c>
      <c r="Y98" s="6">
        <v>22.461707115040042</v>
      </c>
      <c r="Z98" s="6">
        <v>23.881535537134695</v>
      </c>
      <c r="AA98" s="6">
        <v>25.741617529371148</v>
      </c>
      <c r="AB98" s="6">
        <v>28.517562653731414</v>
      </c>
      <c r="AC98" s="6">
        <v>31.861102134854448</v>
      </c>
      <c r="AD98" s="6">
        <v>34.996055672157304</v>
      </c>
      <c r="AE98" s="6">
        <v>34.068574288315006</v>
      </c>
      <c r="AF98" s="6">
        <v>28.517184057960002</v>
      </c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>
      <c r="A99" s="17">
        <v>450</v>
      </c>
      <c r="B99" s="17" t="s">
        <v>94</v>
      </c>
      <c r="C99" s="536">
        <v>3.257317</v>
      </c>
      <c r="D99" s="536">
        <v>2.9986350000000002</v>
      </c>
      <c r="E99" s="536">
        <v>3.1616140000000001</v>
      </c>
      <c r="F99" s="536">
        <v>2.946507</v>
      </c>
      <c r="G99" s="536">
        <v>3.1536019999999998</v>
      </c>
      <c r="H99" s="536">
        <v>3.1058750000000002</v>
      </c>
      <c r="I99" s="536">
        <v>2.6135359999999999</v>
      </c>
      <c r="J99" s="536">
        <v>3.0889329999999999</v>
      </c>
      <c r="K99" s="536">
        <v>3.259836</v>
      </c>
      <c r="L99" s="536">
        <v>3.3097059999999998</v>
      </c>
      <c r="M99" s="536">
        <v>1.100142</v>
      </c>
      <c r="N99" s="6">
        <v>0.92010438690141316</v>
      </c>
      <c r="O99" s="6">
        <v>0.61244193143031811</v>
      </c>
      <c r="P99" s="6">
        <v>0.41175909179681203</v>
      </c>
      <c r="Q99" s="6">
        <v>0.32215074921269155</v>
      </c>
      <c r="R99" s="6">
        <v>0.3084039812696503</v>
      </c>
      <c r="S99" s="6">
        <v>0.33803057549502874</v>
      </c>
      <c r="T99" s="6">
        <v>0.69324293215941168</v>
      </c>
      <c r="U99" s="6">
        <v>0.89890215689105357</v>
      </c>
      <c r="V99" s="6">
        <v>1.1077733493456214</v>
      </c>
      <c r="W99" s="6">
        <v>1.36661293694241</v>
      </c>
      <c r="X99" s="6">
        <v>1.4150182315927997</v>
      </c>
      <c r="Y99" s="6">
        <v>1.47046498591312</v>
      </c>
      <c r="Z99" s="6">
        <v>1.0227178611725001</v>
      </c>
      <c r="AA99" s="6">
        <v>1.0372642214072401</v>
      </c>
      <c r="AB99" s="6">
        <v>1.0041111129514999</v>
      </c>
      <c r="AC99" s="6">
        <v>1.1124473649408</v>
      </c>
      <c r="AD99" s="6">
        <v>1.3195963665668999</v>
      </c>
      <c r="AE99" s="6">
        <v>1.3638652074976001</v>
      </c>
      <c r="AF99" s="6">
        <v>1.4229041170723198</v>
      </c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>
      <c r="A100" s="17">
        <v>660</v>
      </c>
      <c r="B100" s="17" t="s">
        <v>138</v>
      </c>
      <c r="C100" s="536">
        <v>44.191800000000001</v>
      </c>
      <c r="D100" s="536">
        <v>44.443759999999997</v>
      </c>
      <c r="E100" s="536">
        <v>27.649650000000001</v>
      </c>
      <c r="F100" s="536">
        <v>37.426319999999997</v>
      </c>
      <c r="G100" s="536">
        <v>60.086500000000001</v>
      </c>
      <c r="H100" s="536">
        <v>68.654920000000004</v>
      </c>
      <c r="I100" s="536">
        <v>57.291330000000002</v>
      </c>
      <c r="J100" s="536">
        <v>81.005390000000006</v>
      </c>
      <c r="K100" s="536">
        <v>60.027560000000001</v>
      </c>
      <c r="L100" s="536">
        <v>33.661650000000002</v>
      </c>
      <c r="M100" s="536">
        <v>27.38091</v>
      </c>
      <c r="N100" s="6">
        <v>32.628828927851004</v>
      </c>
      <c r="O100" s="6">
        <v>29.166672563642397</v>
      </c>
      <c r="P100" s="6">
        <v>31.6733472854505</v>
      </c>
      <c r="Q100" s="6">
        <v>34.051437160633796</v>
      </c>
      <c r="R100" s="6">
        <v>36.993451267457999</v>
      </c>
      <c r="S100" s="6">
        <v>35.540954881217502</v>
      </c>
      <c r="T100" s="6">
        <v>37.535730785400006</v>
      </c>
      <c r="U100" s="6">
        <v>36.861663954753396</v>
      </c>
      <c r="V100" s="6">
        <v>33.698998879096798</v>
      </c>
      <c r="W100" s="6">
        <v>33.698998879012201</v>
      </c>
      <c r="X100" s="6">
        <v>34.932900719426399</v>
      </c>
      <c r="Y100" s="6">
        <v>34.780928107835003</v>
      </c>
      <c r="Z100" s="6">
        <v>35.823731120059506</v>
      </c>
      <c r="AA100" s="6">
        <v>37.614645793366201</v>
      </c>
      <c r="AB100" s="6">
        <v>38.964514703295997</v>
      </c>
      <c r="AC100" s="6">
        <v>39.310407051449999</v>
      </c>
      <c r="AD100" s="6">
        <v>43.256682803151996</v>
      </c>
      <c r="AE100" s="6">
        <v>48.955551902789999</v>
      </c>
      <c r="AF100" s="6">
        <v>52.904994260661994</v>
      </c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</row>
    <row r="101" spans="1:48">
      <c r="A101" s="17">
        <v>570</v>
      </c>
      <c r="B101" s="17" t="s">
        <v>121</v>
      </c>
      <c r="C101" s="536">
        <v>1.067421</v>
      </c>
      <c r="D101" s="536">
        <v>1.103993</v>
      </c>
      <c r="E101" s="536">
        <v>1.118336</v>
      </c>
      <c r="F101" s="536">
        <v>1.136385</v>
      </c>
      <c r="G101" s="536">
        <v>1.1245419999999999</v>
      </c>
      <c r="H101" s="536">
        <v>1.170048</v>
      </c>
      <c r="I101" s="536">
        <v>1.199441</v>
      </c>
      <c r="J101" s="536">
        <v>1.268054</v>
      </c>
      <c r="K101" s="536">
        <v>1.4284589999999999</v>
      </c>
      <c r="L101" s="536">
        <v>1.5047619999999999</v>
      </c>
      <c r="M101" s="536">
        <v>1.56454</v>
      </c>
      <c r="N101" s="6">
        <v>1.55579108168368</v>
      </c>
      <c r="O101" s="6">
        <v>1.5720120260386801</v>
      </c>
      <c r="P101" s="6">
        <v>1.7219850604076701</v>
      </c>
      <c r="Q101" s="6">
        <v>1.7654291738441701</v>
      </c>
      <c r="R101" s="6">
        <v>1.8222851816584802</v>
      </c>
      <c r="S101" s="6">
        <v>2.0092156563570001</v>
      </c>
      <c r="T101" s="6">
        <v>2.1817513079220001</v>
      </c>
      <c r="U101" s="6">
        <v>2.1052354456734999</v>
      </c>
      <c r="V101" s="6">
        <v>2.0831818586003998</v>
      </c>
      <c r="W101" s="6">
        <v>2.1112552913436002</v>
      </c>
      <c r="X101" s="6">
        <v>2.1408609588052001</v>
      </c>
      <c r="Y101" s="6">
        <v>2.1874280737391998</v>
      </c>
      <c r="Z101" s="6">
        <v>2.2698247718321998</v>
      </c>
      <c r="AA101" s="6">
        <v>2.4061934762249999</v>
      </c>
      <c r="AB101" s="6">
        <v>2.2432601458224002</v>
      </c>
      <c r="AC101" s="6">
        <v>2.3959759799549998</v>
      </c>
      <c r="AD101" s="6">
        <v>2.4929925845301004</v>
      </c>
      <c r="AE101" s="6">
        <v>2.5679940899234999</v>
      </c>
      <c r="AF101" s="6">
        <v>2.4996958048810001</v>
      </c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</row>
    <row r="102" spans="1:48">
      <c r="A102" s="17">
        <v>620</v>
      </c>
      <c r="B102" s="17" t="s">
        <v>131</v>
      </c>
      <c r="C102" s="536"/>
      <c r="D102" s="536"/>
      <c r="E102" s="536"/>
      <c r="F102" s="536"/>
      <c r="G102" s="536"/>
      <c r="H102" s="536"/>
      <c r="I102" s="536">
        <v>84.913700000000006</v>
      </c>
      <c r="J102" s="536">
        <v>72.789379999999994</v>
      </c>
      <c r="K102" s="536">
        <v>74.086349999999996</v>
      </c>
      <c r="L102" s="536">
        <v>79.578580000000002</v>
      </c>
      <c r="M102" s="536">
        <v>63.145000000000003</v>
      </c>
      <c r="N102" s="6">
        <v>69.018040272767848</v>
      </c>
      <c r="O102" s="6">
        <v>69.374709376912833</v>
      </c>
      <c r="P102" s="6">
        <v>68.350110369524685</v>
      </c>
      <c r="Q102" s="6">
        <v>64.494989142004613</v>
      </c>
      <c r="R102" s="6">
        <v>68.104737227436146</v>
      </c>
      <c r="S102" s="6">
        <v>66.266228397981379</v>
      </c>
      <c r="T102" s="6">
        <v>89.692802261600391</v>
      </c>
      <c r="U102" s="6">
        <v>77.242713522551284</v>
      </c>
      <c r="V102" s="6">
        <v>78.928866952996103</v>
      </c>
      <c r="W102" s="6">
        <v>88.294501835183254</v>
      </c>
      <c r="X102" s="6">
        <v>80.298821225690418</v>
      </c>
      <c r="Y102" s="6">
        <v>81.657659901575101</v>
      </c>
      <c r="Z102" s="6">
        <v>92.891770170203188</v>
      </c>
      <c r="AA102" s="6">
        <v>99.616085213901741</v>
      </c>
      <c r="AB102" s="6">
        <v>103.85537655744143</v>
      </c>
      <c r="AC102" s="6">
        <v>113.92378942894413</v>
      </c>
      <c r="AD102" s="6">
        <v>119.66394779628757</v>
      </c>
      <c r="AE102" s="6">
        <v>121.782795269427</v>
      </c>
      <c r="AF102" s="6">
        <v>121.63144050661199</v>
      </c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</row>
    <row r="103" spans="1:48">
      <c r="A103" s="17">
        <v>368</v>
      </c>
      <c r="B103" s="17" t="s">
        <v>70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>
        <v>29.606212770873338</v>
      </c>
      <c r="Q103" s="6">
        <v>25.70596358422771</v>
      </c>
      <c r="R103" s="6">
        <v>26.397247780994871</v>
      </c>
      <c r="S103" s="6">
        <v>27.924932400963563</v>
      </c>
      <c r="T103" s="6">
        <v>30.021959448374769</v>
      </c>
      <c r="U103" s="6">
        <v>31.9296358418488</v>
      </c>
      <c r="V103" s="6">
        <v>31.154076663377456</v>
      </c>
      <c r="W103" s="6">
        <v>32.679067741971579</v>
      </c>
      <c r="X103" s="6">
        <v>34.802883877829274</v>
      </c>
      <c r="Y103" s="6">
        <v>37.248659858819281</v>
      </c>
      <c r="Z103" s="6">
        <v>40.737886428652047</v>
      </c>
      <c r="AA103" s="6">
        <v>43.53992621048863</v>
      </c>
      <c r="AB103" s="6">
        <v>47.620813624355748</v>
      </c>
      <c r="AC103" s="6">
        <v>51.39295158400553</v>
      </c>
      <c r="AD103" s="6">
        <v>55.950056902558096</v>
      </c>
      <c r="AE103" s="6">
        <v>57.816361625554997</v>
      </c>
      <c r="AF103" s="6">
        <v>50.442284549789996</v>
      </c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</row>
    <row r="104" spans="1:48">
      <c r="A104" s="17">
        <v>212</v>
      </c>
      <c r="B104" s="17" t="s">
        <v>39</v>
      </c>
      <c r="C104" s="536">
        <v>10.00774</v>
      </c>
      <c r="D104" s="536">
        <v>9.9123439999999992</v>
      </c>
      <c r="E104" s="536">
        <v>10.014200000000001</v>
      </c>
      <c r="F104" s="536">
        <v>10.35962</v>
      </c>
      <c r="G104" s="536">
        <v>11.10582</v>
      </c>
      <c r="H104" s="536">
        <v>11.506600000000001</v>
      </c>
      <c r="I104" s="536">
        <v>12.620710000000001</v>
      </c>
      <c r="J104" s="536">
        <v>13.11267</v>
      </c>
      <c r="K104" s="536">
        <v>14.281330000000001</v>
      </c>
      <c r="L104" s="536">
        <v>15.74166</v>
      </c>
      <c r="M104" s="536">
        <v>16.583770000000001</v>
      </c>
      <c r="N104" s="6">
        <v>18.051473526128607</v>
      </c>
      <c r="O104" s="6">
        <v>18.436774710647484</v>
      </c>
      <c r="P104" s="6">
        <v>19.225030280495915</v>
      </c>
      <c r="Q104" s="6">
        <v>20.058160358026498</v>
      </c>
      <c r="R104" s="6">
        <v>20.386909381739137</v>
      </c>
      <c r="S104" s="6">
        <v>20.617256398275124</v>
      </c>
      <c r="T104" s="6">
        <v>21.833231504356998</v>
      </c>
      <c r="U104" s="6">
        <v>23.294355037794105</v>
      </c>
      <c r="V104" s="6">
        <v>25.325298972285939</v>
      </c>
      <c r="W104" s="6">
        <v>27.482862875885594</v>
      </c>
      <c r="X104" s="6">
        <v>28.207334583046521</v>
      </c>
      <c r="Y104" s="6">
        <v>29.292660979331359</v>
      </c>
      <c r="Z104" s="6">
        <v>29.934828748443081</v>
      </c>
      <c r="AA104" s="6">
        <v>31.39995100536639</v>
      </c>
      <c r="AB104" s="6">
        <v>33.343745806289341</v>
      </c>
      <c r="AC104" s="6">
        <v>37.315560172458795</v>
      </c>
      <c r="AD104" s="6">
        <v>41.324345706119651</v>
      </c>
      <c r="AE104" s="6">
        <v>43.649607096792003</v>
      </c>
      <c r="AF104" s="6">
        <v>41.524625791390001</v>
      </c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>
      <c r="A105" s="17">
        <v>435</v>
      </c>
      <c r="B105" s="17" t="s">
        <v>89</v>
      </c>
      <c r="C105" s="536">
        <v>2.1434709999999999</v>
      </c>
      <c r="D105" s="536">
        <v>2.234397</v>
      </c>
      <c r="E105" s="536">
        <v>2.070344</v>
      </c>
      <c r="F105" s="536">
        <v>2.1295190000000002</v>
      </c>
      <c r="G105" s="536">
        <v>2.0744910000000001</v>
      </c>
      <c r="H105" s="536">
        <v>2.1426379999999998</v>
      </c>
      <c r="I105" s="536">
        <v>2.2447119999999998</v>
      </c>
      <c r="J105" s="536">
        <v>2.2976570000000001</v>
      </c>
      <c r="K105" s="536">
        <v>2.3460350000000001</v>
      </c>
      <c r="L105" s="536">
        <v>2.471066</v>
      </c>
      <c r="M105" s="536">
        <v>2.4414630000000002</v>
      </c>
      <c r="N105" s="536">
        <v>2.5155285604216746</v>
      </c>
      <c r="O105" s="536">
        <v>2.5508486370948158</v>
      </c>
      <c r="P105" s="536">
        <v>2.7170464904776814</v>
      </c>
      <c r="Q105" s="536">
        <v>2.6303285730412078</v>
      </c>
      <c r="R105" s="536">
        <v>2.8947136177204018</v>
      </c>
      <c r="S105" s="536">
        <v>3.0676221940923916</v>
      </c>
      <c r="T105" s="536">
        <v>2.7663633919704025</v>
      </c>
      <c r="U105" s="536">
        <v>2.8432755918694586</v>
      </c>
      <c r="V105" s="536">
        <v>3.0368706550702353</v>
      </c>
      <c r="W105" s="536">
        <v>3.0916044722318636</v>
      </c>
      <c r="X105" s="536">
        <v>3.1722191664112711</v>
      </c>
      <c r="Y105" s="536">
        <v>3.2179979369660776</v>
      </c>
      <c r="Z105" s="536">
        <v>3.4071210179327411</v>
      </c>
      <c r="AA105" s="536">
        <v>3.6464760787255446</v>
      </c>
      <c r="AB105" s="536">
        <v>3.8986200446361856</v>
      </c>
      <c r="AC105" s="536">
        <v>4.9964470555837881</v>
      </c>
      <c r="AD105" s="536">
        <v>4.8275751468054029</v>
      </c>
      <c r="AE105" s="536">
        <v>4.9544027666574992</v>
      </c>
      <c r="AF105" s="536">
        <v>4.9380393655592991</v>
      </c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>
      <c r="A106" s="17">
        <v>343</v>
      </c>
      <c r="B106" s="17" t="s">
        <v>57</v>
      </c>
      <c r="C106" s="536"/>
      <c r="D106" s="536"/>
      <c r="E106" s="536"/>
      <c r="F106" s="536"/>
      <c r="G106" s="536"/>
      <c r="H106" s="536"/>
      <c r="I106" s="536"/>
      <c r="J106" s="536"/>
      <c r="K106" s="536"/>
      <c r="L106" s="536"/>
      <c r="M106" s="536">
        <v>12.94007</v>
      </c>
      <c r="N106" s="6">
        <v>12.485868171612928</v>
      </c>
      <c r="O106" s="6">
        <v>11.562929594902979</v>
      </c>
      <c r="P106" s="6">
        <v>11.605399022809525</v>
      </c>
      <c r="Q106" s="6">
        <v>11.468170015946276</v>
      </c>
      <c r="R106" s="6">
        <v>11.372628457482136</v>
      </c>
      <c r="S106" s="6">
        <v>11.481113885244625</v>
      </c>
      <c r="T106" s="6">
        <v>11.52894223402533</v>
      </c>
      <c r="U106" s="6">
        <v>11.904357766471552</v>
      </c>
      <c r="V106" s="6">
        <v>12.43446465320344</v>
      </c>
      <c r="W106" s="6">
        <v>12.764846757576159</v>
      </c>
      <c r="X106" s="6">
        <v>12.615747115888102</v>
      </c>
      <c r="Y106" s="6">
        <v>12.370663411414542</v>
      </c>
      <c r="Z106" s="6">
        <v>12.666531566730354</v>
      </c>
      <c r="AA106" s="6">
        <v>13.071202961812627</v>
      </c>
      <c r="AB106" s="6">
        <v>13.527331397144552</v>
      </c>
      <c r="AC106" s="6">
        <v>14.078383464461032</v>
      </c>
      <c r="AD106" s="6">
        <v>15.070548991753743</v>
      </c>
      <c r="AE106" s="6">
        <v>15.877773204517799</v>
      </c>
      <c r="AF106" s="6">
        <v>15.8790372292773</v>
      </c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</row>
    <row r="107" spans="1:48">
      <c r="A107" s="17">
        <v>781</v>
      </c>
      <c r="B107" s="17" t="s">
        <v>166</v>
      </c>
      <c r="C107" s="536">
        <v>0.15040519999999999</v>
      </c>
      <c r="D107" s="536">
        <v>0.16810549999999999</v>
      </c>
      <c r="E107" s="536">
        <v>0.1630529</v>
      </c>
      <c r="F107" s="536">
        <v>0.1895752</v>
      </c>
      <c r="G107" s="536">
        <v>0.24062710000000001</v>
      </c>
      <c r="H107" s="536">
        <v>0.27179759999999997</v>
      </c>
      <c r="I107" s="536">
        <v>0.29743900000000001</v>
      </c>
      <c r="J107" s="536">
        <v>0.32388869999999997</v>
      </c>
      <c r="K107" s="536">
        <v>0.35219699999999998</v>
      </c>
      <c r="L107" s="536">
        <v>0.38415519999999997</v>
      </c>
      <c r="M107" s="536">
        <v>0.44628410000000002</v>
      </c>
      <c r="N107" s="6">
        <v>0.48256498215965415</v>
      </c>
      <c r="O107" s="6">
        <v>0.5122077714325729</v>
      </c>
      <c r="P107" s="6">
        <v>0.54362919284265088</v>
      </c>
      <c r="Q107" s="6">
        <v>0.57352322727202554</v>
      </c>
      <c r="R107" s="6">
        <v>0.61677091915901994</v>
      </c>
      <c r="S107" s="6">
        <v>0.69134838554749678</v>
      </c>
      <c r="T107" s="6">
        <v>0.75605271245316041</v>
      </c>
      <c r="U107" s="6">
        <v>0.83055204582821762</v>
      </c>
      <c r="V107" s="6">
        <v>0.8407966487381161</v>
      </c>
      <c r="W107" s="6">
        <v>0.94114419756554779</v>
      </c>
      <c r="X107" s="6">
        <v>0.9736017221790334</v>
      </c>
      <c r="Y107" s="6">
        <v>1.0372842696972402</v>
      </c>
      <c r="Z107" s="6">
        <v>1.2630591181565831</v>
      </c>
      <c r="AA107" s="6">
        <v>1.397904608798707</v>
      </c>
      <c r="AB107" s="6">
        <v>1.5734383674264905</v>
      </c>
      <c r="AC107" s="6">
        <v>1.5260171424929412</v>
      </c>
      <c r="AD107" s="6">
        <v>1.7113763433493516</v>
      </c>
      <c r="AE107" s="6">
        <v>1.8270477005437999</v>
      </c>
      <c r="AF107" s="6">
        <v>1.7667430300872002</v>
      </c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</row>
    <row r="108" spans="1:48">
      <c r="A108" s="17">
        <v>580</v>
      </c>
      <c r="B108" s="17" t="s">
        <v>124</v>
      </c>
      <c r="C108" s="536">
        <v>7.0305109999999997</v>
      </c>
      <c r="D108" s="536">
        <v>7.0403929999999999</v>
      </c>
      <c r="E108" s="536">
        <v>6.8609790000000004</v>
      </c>
      <c r="F108" s="536">
        <v>7.124034</v>
      </c>
      <c r="G108" s="536">
        <v>7.4324519999999996</v>
      </c>
      <c r="H108" s="536">
        <v>7.649851</v>
      </c>
      <c r="I108" s="536">
        <v>9.5042840000000002</v>
      </c>
      <c r="J108" s="536">
        <v>9.7343960000000003</v>
      </c>
      <c r="K108" s="536">
        <v>10.022119999999999</v>
      </c>
      <c r="L108" s="536">
        <v>10.89451</v>
      </c>
      <c r="M108" s="536">
        <v>10.64804</v>
      </c>
      <c r="N108" s="536"/>
      <c r="O108" s="6">
        <v>10.426470036440056</v>
      </c>
      <c r="P108" s="6">
        <v>10.537030207687462</v>
      </c>
      <c r="Q108" s="6">
        <v>10.659006236221687</v>
      </c>
      <c r="R108" s="6">
        <v>10.845697149314844</v>
      </c>
      <c r="S108" s="6">
        <v>11.072386420794539</v>
      </c>
      <c r="T108" s="6">
        <v>11.326229003982688</v>
      </c>
      <c r="U108" s="6">
        <v>11.623716844980658</v>
      </c>
      <c r="V108" s="6">
        <v>12.281330244138202</v>
      </c>
      <c r="W108" s="6">
        <v>12.779382056600765</v>
      </c>
      <c r="X108" s="6">
        <v>13.478339017580401</v>
      </c>
      <c r="Y108" s="6">
        <v>11.475909142042166</v>
      </c>
      <c r="Z108" s="6">
        <v>12.092536394751537</v>
      </c>
      <c r="AA108" s="6">
        <v>12.644269772604432</v>
      </c>
      <c r="AB108" s="6">
        <v>13.582177856506913</v>
      </c>
      <c r="AC108" s="6">
        <v>14.404399202050302</v>
      </c>
      <c r="AD108" s="6">
        <v>15.104051326886724</v>
      </c>
      <c r="AE108" s="6">
        <v>16.21000478469546</v>
      </c>
      <c r="AF108" s="6">
        <v>15.546964388916681</v>
      </c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>
      <c r="A109" s="17">
        <v>820</v>
      </c>
      <c r="B109" s="17" t="s">
        <v>172</v>
      </c>
      <c r="C109" s="536">
        <v>58.593609999999998</v>
      </c>
      <c r="D109" s="536">
        <v>62.69941</v>
      </c>
      <c r="E109" s="536">
        <v>66.857979999999998</v>
      </c>
      <c r="F109" s="536">
        <v>71.19896</v>
      </c>
      <c r="G109" s="536">
        <v>77.023740000000004</v>
      </c>
      <c r="H109" s="536">
        <v>75.077759999999998</v>
      </c>
      <c r="I109" s="536">
        <v>75.051410000000004</v>
      </c>
      <c r="J109" s="536">
        <v>79.098529999999997</v>
      </c>
      <c r="K109" s="536">
        <v>87.237780000000001</v>
      </c>
      <c r="L109" s="536">
        <v>96.520989999999998</v>
      </c>
      <c r="M109" s="536">
        <v>106.4984</v>
      </c>
      <c r="N109" s="6">
        <v>118.095335579416</v>
      </c>
      <c r="O109" s="6">
        <v>128.8073641686768</v>
      </c>
      <c r="P109" s="6">
        <v>142.52679745310161</v>
      </c>
      <c r="Q109" s="6">
        <v>158.18010171422048</v>
      </c>
      <c r="R109" s="6">
        <v>176.37686374669897</v>
      </c>
      <c r="S109" s="6">
        <v>193.73359595293039</v>
      </c>
      <c r="T109" s="6">
        <v>207.93394015632188</v>
      </c>
      <c r="U109" s="6">
        <v>190.44152565286021</v>
      </c>
      <c r="V109" s="6">
        <v>202.81980238521868</v>
      </c>
      <c r="W109" s="6">
        <v>224.43822251711578</v>
      </c>
      <c r="X109" s="6">
        <v>222.45032056918859</v>
      </c>
      <c r="Y109" s="6">
        <v>234.60656966757711</v>
      </c>
      <c r="Z109" s="6">
        <v>246.83021749371201</v>
      </c>
      <c r="AA109" s="6">
        <v>265.00962034727502</v>
      </c>
      <c r="AB109" s="6">
        <v>278.33285119665601</v>
      </c>
      <c r="AC109" s="6">
        <v>295.17677743500798</v>
      </c>
      <c r="AD109" s="6">
        <v>313.167235389072</v>
      </c>
      <c r="AE109" s="6">
        <v>325.64076309973399</v>
      </c>
      <c r="AF109" s="6">
        <v>314.58459480064403</v>
      </c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>
      <c r="A110" s="17">
        <v>590</v>
      </c>
      <c r="B110" s="17" t="s">
        <v>126</v>
      </c>
      <c r="C110" s="536">
        <v>2.872201</v>
      </c>
      <c r="D110" s="536">
        <v>3.1174149999999998</v>
      </c>
      <c r="E110" s="536">
        <v>3.2206800000000002</v>
      </c>
      <c r="F110" s="536">
        <v>3.2274850000000002</v>
      </c>
      <c r="G110" s="536">
        <v>3.4077060000000001</v>
      </c>
      <c r="H110" s="536">
        <v>3.6582080000000001</v>
      </c>
      <c r="I110" s="536">
        <v>4.0131370000000004</v>
      </c>
      <c r="J110" s="536">
        <v>4.422129</v>
      </c>
      <c r="K110" s="536">
        <v>4.7229020000000004</v>
      </c>
      <c r="L110" s="536">
        <v>4.9216610000000003</v>
      </c>
      <c r="M110" s="536">
        <v>5.3012930000000003</v>
      </c>
      <c r="N110" s="6">
        <v>5.4863115422265869</v>
      </c>
      <c r="O110" s="6">
        <v>5.8536893898448774</v>
      </c>
      <c r="P110" s="6">
        <v>6.1387588470267263</v>
      </c>
      <c r="Q110" s="6">
        <v>6.3951991285137257</v>
      </c>
      <c r="R110" s="6">
        <v>6.6734827409608961</v>
      </c>
      <c r="S110" s="6">
        <v>6.9865618339217574</v>
      </c>
      <c r="T110" s="6">
        <v>7.4155694103074845</v>
      </c>
      <c r="U110" s="6">
        <v>7.8625129710402906</v>
      </c>
      <c r="V110" s="6">
        <v>8.0669941269010561</v>
      </c>
      <c r="W110" s="6">
        <v>8.9034439440917694</v>
      </c>
      <c r="X110" s="6">
        <v>9.0954332796822488</v>
      </c>
      <c r="Y110" s="6">
        <v>9.3047499746701217</v>
      </c>
      <c r="Z110" s="6">
        <v>9.7552542549228018</v>
      </c>
      <c r="AA110" s="6">
        <v>10.31082288631376</v>
      </c>
      <c r="AB110" s="6">
        <v>10.341077075190139</v>
      </c>
      <c r="AC110" s="6">
        <v>10.71804181618209</v>
      </c>
      <c r="AD110" s="6">
        <v>11.376391667844146</v>
      </c>
      <c r="AE110" s="6">
        <v>11.897535666179801</v>
      </c>
      <c r="AF110" s="6">
        <v>12.180879287294399</v>
      </c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</row>
    <row r="111" spans="1:48">
      <c r="A111" s="17">
        <v>553</v>
      </c>
      <c r="B111" s="17" t="s">
        <v>118</v>
      </c>
      <c r="C111" s="536">
        <v>5.629874</v>
      </c>
      <c r="D111" s="536">
        <v>4.613213</v>
      </c>
      <c r="E111" s="536">
        <v>4.6078140000000003</v>
      </c>
      <c r="F111" s="536">
        <v>4.7271919999999996</v>
      </c>
      <c r="G111" s="536">
        <v>4.9645619999999999</v>
      </c>
      <c r="H111" s="536">
        <v>5.153918</v>
      </c>
      <c r="I111" s="536">
        <v>5.0658450000000004</v>
      </c>
      <c r="J111" s="536">
        <v>5.0744160000000003</v>
      </c>
      <c r="K111" s="536">
        <v>5.3099809999999996</v>
      </c>
      <c r="L111" s="536">
        <v>5.4665319999999999</v>
      </c>
      <c r="M111" s="536">
        <v>5.6461420000000002</v>
      </c>
      <c r="N111" s="6">
        <v>6.4294027152989104</v>
      </c>
      <c r="O111" s="6">
        <v>5.7829848382209592</v>
      </c>
      <c r="P111" s="6">
        <v>6.2217487760507941</v>
      </c>
      <c r="Q111" s="6">
        <v>5.2608144950083187</v>
      </c>
      <c r="R111" s="6">
        <v>5.7274160458590053</v>
      </c>
      <c r="S111" s="6">
        <v>6.2465288419631948</v>
      </c>
      <c r="T111" s="6">
        <v>6.627054208767202</v>
      </c>
      <c r="U111" s="6">
        <v>6.5446332498802171</v>
      </c>
      <c r="V111" s="6">
        <v>6.8257796292648187</v>
      </c>
      <c r="W111" s="6">
        <v>6.7703664116608806</v>
      </c>
      <c r="X111" s="6">
        <v>6.6343886002625405</v>
      </c>
      <c r="Y111" s="6">
        <v>6.6032030326779996</v>
      </c>
      <c r="Z111" s="6">
        <v>6.9489130493873699</v>
      </c>
      <c r="AA111" s="6">
        <v>7.3922383478321994</v>
      </c>
      <c r="AB111" s="6">
        <v>7.2541065024548796</v>
      </c>
      <c r="AC111" s="6">
        <v>8.0907709217203205</v>
      </c>
      <c r="AD111" s="6">
        <v>8.2753971276400886</v>
      </c>
      <c r="AE111" s="6">
        <v>9.0931528054035198</v>
      </c>
      <c r="AF111" s="6">
        <v>9.8036100384664397</v>
      </c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</row>
    <row r="112" spans="1:48">
      <c r="A112" s="17">
        <v>70</v>
      </c>
      <c r="B112" s="17" t="s">
        <v>15</v>
      </c>
      <c r="C112" s="536">
        <v>641.98820000000001</v>
      </c>
      <c r="D112" s="536">
        <v>698.3963</v>
      </c>
      <c r="E112" s="536">
        <v>682.98389999999995</v>
      </c>
      <c r="F112" s="536">
        <v>646.58399999999995</v>
      </c>
      <c r="G112" s="536">
        <v>670.22640000000001</v>
      </c>
      <c r="H112" s="536">
        <v>692.1345</v>
      </c>
      <c r="I112" s="536">
        <v>663.65989999999999</v>
      </c>
      <c r="J112" s="536">
        <v>671.34289999999999</v>
      </c>
      <c r="K112" s="536">
        <v>679.08690000000001</v>
      </c>
      <c r="L112" s="536">
        <v>709.08839999999998</v>
      </c>
      <c r="M112" s="536">
        <v>747.32240000000002</v>
      </c>
      <c r="N112" s="536">
        <v>781.60263468246455</v>
      </c>
      <c r="O112" s="536">
        <v>813.38495100334501</v>
      </c>
      <c r="P112" s="536">
        <v>828.08900839211992</v>
      </c>
      <c r="Q112" s="536">
        <v>866.57305024687685</v>
      </c>
      <c r="R112" s="536">
        <v>801.68611644087787</v>
      </c>
      <c r="S112" s="536">
        <v>842.34176715266244</v>
      </c>
      <c r="T112" s="536">
        <v>902.98929134191962</v>
      </c>
      <c r="U112" s="536">
        <v>950.08205402747683</v>
      </c>
      <c r="V112" s="536">
        <v>987.79664410966996</v>
      </c>
      <c r="W112" s="536">
        <v>1055.8378610310515</v>
      </c>
      <c r="X112" s="536">
        <v>1055.8956912875888</v>
      </c>
      <c r="Y112" s="536">
        <v>1063.7968262659704</v>
      </c>
      <c r="Z112" s="536">
        <v>1077.0079451881927</v>
      </c>
      <c r="AA112" s="536">
        <v>1121.2550471698517</v>
      </c>
      <c r="AB112" s="536">
        <v>1270.6951712696491</v>
      </c>
      <c r="AC112" s="536">
        <v>1334.3586943456869</v>
      </c>
      <c r="AD112" s="536">
        <v>1380.1694175302955</v>
      </c>
      <c r="AE112" s="536">
        <v>1401.9725602971248</v>
      </c>
      <c r="AF112" s="536">
        <v>1293.8315216051399</v>
      </c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>
      <c r="A113" s="17">
        <v>359</v>
      </c>
      <c r="B113" s="17" t="s">
        <v>65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>
        <v>9.6418821848317968</v>
      </c>
      <c r="P113" s="6">
        <v>9.3012702928239737</v>
      </c>
      <c r="Q113" s="6">
        <v>6.8905889882308626</v>
      </c>
      <c r="R113" s="6">
        <v>7.0505307979574132</v>
      </c>
      <c r="S113" s="6">
        <v>7.0131159750741325</v>
      </c>
      <c r="T113" s="6">
        <v>7.3491915972169055</v>
      </c>
      <c r="U113" s="6">
        <v>7.0329969305527893</v>
      </c>
      <c r="V113" s="6">
        <v>6.4721179803304238</v>
      </c>
      <c r="W113" s="6">
        <v>6.9387886513736277</v>
      </c>
      <c r="X113" s="6">
        <v>7.2812919131346314</v>
      </c>
      <c r="Y113" s="6">
        <v>7.8594270138621285</v>
      </c>
      <c r="Z113" s="6">
        <v>8.498535658053946</v>
      </c>
      <c r="AA113" s="6">
        <v>8.996932164130218</v>
      </c>
      <c r="AB113" s="6">
        <v>9.7094872691585294</v>
      </c>
      <c r="AC113" s="6">
        <v>10.164939110314577</v>
      </c>
      <c r="AD113" s="6">
        <v>10.286049363339862</v>
      </c>
      <c r="AE113" s="6">
        <v>11.0765014755388</v>
      </c>
      <c r="AF113" s="6">
        <v>10.7845629180106</v>
      </c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</row>
    <row r="114" spans="1:48">
      <c r="A114" s="17">
        <v>432</v>
      </c>
      <c r="B114" s="17" t="s">
        <v>86</v>
      </c>
      <c r="C114" s="536">
        <v>3.8093119999999998</v>
      </c>
      <c r="D114" s="536">
        <v>4.0294990000000004</v>
      </c>
      <c r="E114" s="536">
        <v>4.2744809999999998</v>
      </c>
      <c r="F114" s="536">
        <v>3.97784</v>
      </c>
      <c r="G114" s="536">
        <v>3.9426160000000001</v>
      </c>
      <c r="H114" s="536">
        <v>4.3357960000000002</v>
      </c>
      <c r="I114" s="536">
        <v>5.130744</v>
      </c>
      <c r="J114" s="536">
        <v>5.0399960000000004</v>
      </c>
      <c r="K114" s="536">
        <v>5.055828</v>
      </c>
      <c r="L114" s="536">
        <v>5.4397099999999998</v>
      </c>
      <c r="M114" s="536">
        <v>5.5606819999999999</v>
      </c>
      <c r="N114" s="536">
        <v>5.5138543514218892</v>
      </c>
      <c r="O114" s="536">
        <v>6.0798460047479033</v>
      </c>
      <c r="P114" s="536">
        <v>6.2011289341039495</v>
      </c>
      <c r="Q114" s="536">
        <v>6.2784612887452322</v>
      </c>
      <c r="R114" s="536">
        <v>6.3419527225358738</v>
      </c>
      <c r="S114" s="536">
        <v>7.0191299423937696</v>
      </c>
      <c r="T114" s="536">
        <v>7.2933899695155402</v>
      </c>
      <c r="U114" s="536">
        <v>7.8934107081259892</v>
      </c>
      <c r="V114" s="536">
        <v>8.2995932526403706</v>
      </c>
      <c r="W114" s="536">
        <v>7.9705213812263001</v>
      </c>
      <c r="X114" s="536">
        <v>8.831854087761581</v>
      </c>
      <c r="Y114" s="536">
        <v>9.1406375186807995</v>
      </c>
      <c r="Z114" s="536">
        <v>9.8947759405325098</v>
      </c>
      <c r="AA114" s="536">
        <v>10.2340928902344</v>
      </c>
      <c r="AB114" s="536">
        <v>10.80601648627778</v>
      </c>
      <c r="AC114" s="536">
        <v>11.433211000829731</v>
      </c>
      <c r="AD114" s="536">
        <v>11.96749868456839</v>
      </c>
      <c r="AE114" s="536">
        <v>12.84064158974223</v>
      </c>
      <c r="AF114" s="536">
        <v>13.422838877553749</v>
      </c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>
      <c r="A115" s="17">
        <v>338</v>
      </c>
      <c r="B115" s="17" t="s">
        <v>55</v>
      </c>
      <c r="C115" s="536">
        <v>3.3710650000000002</v>
      </c>
      <c r="D115" s="536">
        <v>3.4693589999999999</v>
      </c>
      <c r="E115" s="536">
        <v>3.4949279999999998</v>
      </c>
      <c r="F115" s="536">
        <v>3.495009</v>
      </c>
      <c r="G115" s="536">
        <v>3.5190779999999999</v>
      </c>
      <c r="H115" s="536">
        <v>3.5740810000000001</v>
      </c>
      <c r="I115" s="536">
        <v>3.7548889999999999</v>
      </c>
      <c r="J115" s="536">
        <v>3.9036960000000001</v>
      </c>
      <c r="K115" s="536">
        <v>4.2121399999999998</v>
      </c>
      <c r="L115" s="536">
        <v>4.5272199999999998</v>
      </c>
      <c r="M115" s="536">
        <v>4.7979380000000003</v>
      </c>
      <c r="N115" s="6">
        <v>5.1104712513980024</v>
      </c>
      <c r="O115" s="6">
        <v>5.3778445425341141</v>
      </c>
      <c r="P115" s="6">
        <v>5.6315362195426317</v>
      </c>
      <c r="Q115" s="6">
        <v>5.9807064256145299</v>
      </c>
      <c r="R115" s="6">
        <v>6.2483159820531773</v>
      </c>
      <c r="S115" s="6">
        <v>6.4563829874509686</v>
      </c>
      <c r="T115" s="6">
        <v>6.7751771955771378</v>
      </c>
      <c r="U115" s="6">
        <v>7.0936635205026484</v>
      </c>
      <c r="V115" s="6">
        <v>7.4352867193158723</v>
      </c>
      <c r="W115" s="6">
        <v>7.8208632258848798</v>
      </c>
      <c r="X115" s="6">
        <v>7.6172195980640609</v>
      </c>
      <c r="Y115" s="6">
        <v>7.7523633018633697</v>
      </c>
      <c r="Z115" s="6">
        <v>7.7920984770336963</v>
      </c>
      <c r="AA115" s="6">
        <v>7.8787077323796666</v>
      </c>
      <c r="AB115" s="6">
        <v>8.2240473552368023</v>
      </c>
      <c r="AC115" s="6">
        <v>8.5252405332530934</v>
      </c>
      <c r="AD115" s="6">
        <v>8.7979080021746405</v>
      </c>
      <c r="AE115" s="6">
        <v>9.0044558073609409</v>
      </c>
      <c r="AF115" s="6">
        <v>8.7650822653839722</v>
      </c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>
      <c r="A116" s="17">
        <v>221</v>
      </c>
      <c r="B116" s="17" t="s">
        <v>41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536"/>
      <c r="AF116" s="53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>
      <c r="A117" s="17">
        <v>341</v>
      </c>
      <c r="B117" s="17" t="s">
        <v>193</v>
      </c>
      <c r="C117" s="536"/>
      <c r="D117" s="536"/>
      <c r="E117" s="536"/>
      <c r="F117" s="536"/>
      <c r="G117" s="536"/>
      <c r="H117" s="536"/>
      <c r="I117" s="536"/>
      <c r="J117" s="536"/>
      <c r="K117" s="536"/>
      <c r="L117" s="536"/>
      <c r="M117" s="536">
        <v>5.3206519999999999</v>
      </c>
      <c r="N117" s="6">
        <v>4.7457694344265269</v>
      </c>
      <c r="O117" s="6">
        <v>3.6302687466114065</v>
      </c>
      <c r="P117" s="6">
        <v>2.3041908919959249</v>
      </c>
      <c r="Q117" s="6">
        <v>2.3385486503709911</v>
      </c>
      <c r="R117" s="6">
        <v>2.6727494206918321</v>
      </c>
      <c r="S117" s="6">
        <v>3.4107356708698791</v>
      </c>
      <c r="T117" s="6">
        <v>3.6349477145486029</v>
      </c>
      <c r="U117" s="6">
        <v>3.8009803756008451</v>
      </c>
      <c r="V117" s="6">
        <v>3.4879149878335536</v>
      </c>
      <c r="W117" s="6">
        <v>3.5933388494899194</v>
      </c>
      <c r="X117" s="6">
        <v>3.6291979725677477</v>
      </c>
      <c r="Y117" s="6">
        <v>3.7139766386772206</v>
      </c>
      <c r="Z117" s="6">
        <v>3.7940552543567105</v>
      </c>
      <c r="AA117" s="6">
        <v>3.9648612600088065</v>
      </c>
      <c r="AB117" s="6">
        <v>4.1161290347147892</v>
      </c>
      <c r="AC117" s="6">
        <v>4.3953716084812049</v>
      </c>
      <c r="AD117" s="6">
        <v>4.8001713439085956</v>
      </c>
      <c r="AE117" s="6">
        <v>5.0463756759312002</v>
      </c>
      <c r="AF117" s="6">
        <v>4.9178961722016004</v>
      </c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</row>
    <row r="118" spans="1:48">
      <c r="A118" s="17">
        <v>712</v>
      </c>
      <c r="B118" s="17" t="s">
        <v>155</v>
      </c>
      <c r="C118" s="536">
        <v>3.3368829999999998</v>
      </c>
      <c r="D118" s="536">
        <v>3.1255310000000001</v>
      </c>
      <c r="E118" s="536">
        <v>3.5475660000000002</v>
      </c>
      <c r="F118" s="536">
        <v>4.0425529999999998</v>
      </c>
      <c r="G118" s="536">
        <v>4.5302879999999996</v>
      </c>
      <c r="H118" s="536">
        <v>4.7222179999999998</v>
      </c>
      <c r="I118" s="536">
        <v>5.1125999999999996</v>
      </c>
      <c r="J118" s="536">
        <v>5.4661730000000004</v>
      </c>
      <c r="K118" s="536">
        <v>5.6410020000000003</v>
      </c>
      <c r="L118" s="536">
        <v>5.7464740000000001</v>
      </c>
      <c r="M118" s="536">
        <v>7.1356130000000002</v>
      </c>
      <c r="N118" s="536">
        <v>5.4569826717041483</v>
      </c>
      <c r="O118" s="536">
        <v>4.5207896941842547</v>
      </c>
      <c r="P118" s="536">
        <v>4.3145807740488982</v>
      </c>
      <c r="Q118" s="536">
        <v>4.4693141729416368</v>
      </c>
      <c r="R118" s="536">
        <v>4.5829168063762227</v>
      </c>
      <c r="S118" s="536">
        <v>4.7654821656489226</v>
      </c>
      <c r="T118" s="536">
        <v>4.9574684990366684</v>
      </c>
      <c r="U118" s="536">
        <v>5.3258186142762414</v>
      </c>
      <c r="V118" s="536">
        <v>5.4692008456566343</v>
      </c>
      <c r="W118" s="536">
        <v>5.7222779574758071</v>
      </c>
      <c r="X118" s="536">
        <v>5.8731722801458703</v>
      </c>
      <c r="Y118" s="536">
        <v>5.9241989252224441</v>
      </c>
      <c r="Z118" s="536">
        <v>6.147652551337738</v>
      </c>
      <c r="AA118" s="536">
        <v>6.8986726979154769</v>
      </c>
      <c r="AB118" s="536">
        <v>7.4630940453277912</v>
      </c>
      <c r="AC118" s="536">
        <v>8.0980034781676</v>
      </c>
      <c r="AD118" s="536">
        <v>8.9747031793454326</v>
      </c>
      <c r="AE118" s="536">
        <v>9.9078112233324003</v>
      </c>
      <c r="AF118" s="536">
        <v>9.6391552245659007</v>
      </c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</row>
    <row r="119" spans="1:48">
      <c r="A119" s="17">
        <v>600</v>
      </c>
      <c r="B119" s="17" t="s">
        <v>128</v>
      </c>
      <c r="C119" s="536">
        <v>40.810130000000001</v>
      </c>
      <c r="D119" s="536">
        <v>39.597499999999997</v>
      </c>
      <c r="E119" s="536">
        <v>43.227339999999998</v>
      </c>
      <c r="F119" s="536">
        <v>41.947890000000001</v>
      </c>
      <c r="G119" s="536">
        <v>43.908990000000003</v>
      </c>
      <c r="H119" s="536">
        <v>46.71246</v>
      </c>
      <c r="I119" s="536">
        <v>49.825960000000002</v>
      </c>
      <c r="J119" s="536">
        <v>48.375959999999999</v>
      </c>
      <c r="K119" s="536">
        <v>53.165010000000002</v>
      </c>
      <c r="L119" s="536">
        <v>55.46246</v>
      </c>
      <c r="M119" s="536">
        <v>57.980699999999999</v>
      </c>
      <c r="N119" s="6">
        <v>61.299421546803401</v>
      </c>
      <c r="O119" s="6">
        <v>59.130177426758401</v>
      </c>
      <c r="P119" s="6">
        <v>57.621837213667497</v>
      </c>
      <c r="Q119" s="6">
        <v>63.110290315530897</v>
      </c>
      <c r="R119" s="6">
        <v>59.491396243555201</v>
      </c>
      <c r="S119" s="6">
        <v>66.170371968203199</v>
      </c>
      <c r="T119" s="6">
        <v>65.594329910247794</v>
      </c>
      <c r="U119" s="6">
        <v>71.076148725443602</v>
      </c>
      <c r="V119" s="6">
        <v>71.130845902316196</v>
      </c>
      <c r="W119" s="6">
        <v>72.008217297786587</v>
      </c>
      <c r="X119" s="6">
        <v>76.446564239965198</v>
      </c>
      <c r="Y119" s="6">
        <v>79.022135360586006</v>
      </c>
      <c r="Z119" s="6">
        <v>84.31438459027919</v>
      </c>
      <c r="AA119" s="6">
        <v>88.653211884052794</v>
      </c>
      <c r="AB119" s="6">
        <v>91.045669824493515</v>
      </c>
      <c r="AC119" s="6">
        <v>98.306241599850395</v>
      </c>
      <c r="AD119" s="6">
        <v>101.7868577151234</v>
      </c>
      <c r="AE119" s="6">
        <v>108.51680451903201</v>
      </c>
      <c r="AF119" s="6">
        <v>102.966172085088</v>
      </c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>
      <c r="A120" s="17">
        <v>983</v>
      </c>
      <c r="B120" s="17" t="s">
        <v>187</v>
      </c>
      <c r="C120" s="536">
        <v>0.20109949999999999</v>
      </c>
      <c r="D120" s="536">
        <v>0.21950919999999999</v>
      </c>
      <c r="E120" s="536">
        <v>0.22573370000000001</v>
      </c>
      <c r="F120" s="536">
        <v>0.26248729999999998</v>
      </c>
      <c r="G120" s="536">
        <v>0.25936369999999997</v>
      </c>
      <c r="H120" s="536">
        <v>0.25730969999999997</v>
      </c>
      <c r="I120" s="536">
        <v>0.31405309999999997</v>
      </c>
      <c r="J120" s="536">
        <v>0.36252240000000002</v>
      </c>
      <c r="K120" s="536">
        <v>0.38852229999999999</v>
      </c>
      <c r="L120" s="536">
        <v>0.3915343</v>
      </c>
      <c r="M120" s="536">
        <v>0.44012250000000003</v>
      </c>
      <c r="N120" s="6">
        <v>0.45694556325744451</v>
      </c>
      <c r="O120" s="6">
        <v>0.46316965339635674</v>
      </c>
      <c r="P120" s="6">
        <v>0.4571737519666968</v>
      </c>
      <c r="Q120" s="6">
        <v>0.44972462990056944</v>
      </c>
      <c r="R120" s="6">
        <v>0.44855303844687228</v>
      </c>
      <c r="S120" s="6">
        <v>0.39370000431194341</v>
      </c>
      <c r="T120" s="6">
        <v>0.37378435167028501</v>
      </c>
      <c r="U120" s="6">
        <v>0.36075138973204796</v>
      </c>
      <c r="V120" s="6">
        <v>0.35038287057167056</v>
      </c>
      <c r="W120" s="6">
        <v>0.36818662301896965</v>
      </c>
      <c r="X120" s="6">
        <v>0.37821598071664286</v>
      </c>
      <c r="Y120" s="6">
        <v>0.39262050001215848</v>
      </c>
      <c r="Z120" s="6">
        <v>0.40618571256748803</v>
      </c>
      <c r="AA120" s="6">
        <v>0.428749849326576</v>
      </c>
      <c r="AB120" s="6">
        <v>0.4445275204400288</v>
      </c>
      <c r="AC120" s="6">
        <v>0.44849676650372583</v>
      </c>
      <c r="AD120" s="6">
        <v>0.4543947556544175</v>
      </c>
      <c r="AE120" s="6">
        <v>0.46098436455964903</v>
      </c>
      <c r="AF120" s="6">
        <v>0.46098527397</v>
      </c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>
      <c r="A121" s="17">
        <v>775</v>
      </c>
      <c r="B121" s="17" t="s">
        <v>164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536"/>
      <c r="AF121" s="53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>
      <c r="A122" s="17">
        <v>541</v>
      </c>
      <c r="B122" s="17" t="s">
        <v>115</v>
      </c>
      <c r="C122" s="536">
        <v>5.6788660000000002</v>
      </c>
      <c r="D122" s="536">
        <v>5.6356450000000002</v>
      </c>
      <c r="E122" s="536">
        <v>5.4056740000000003</v>
      </c>
      <c r="F122" s="536">
        <v>4.8699519999999996</v>
      </c>
      <c r="G122" s="536">
        <v>4.9683510000000002</v>
      </c>
      <c r="H122" s="536">
        <v>4.6729000000000003</v>
      </c>
      <c r="I122" s="536">
        <v>4.4936910000000001</v>
      </c>
      <c r="J122" s="536">
        <v>4.6641719999999998</v>
      </c>
      <c r="K122" s="536">
        <v>4.8830400000000003</v>
      </c>
      <c r="L122" s="536">
        <v>5.1904659999999998</v>
      </c>
      <c r="M122" s="536">
        <v>5.124352</v>
      </c>
      <c r="N122" s="536">
        <v>5.3624866808924656</v>
      </c>
      <c r="O122" s="536">
        <v>4.8768653551230381</v>
      </c>
      <c r="P122" s="536">
        <v>5.1834898631979938</v>
      </c>
      <c r="Q122" s="536">
        <v>5.4737828648638223</v>
      </c>
      <c r="R122" s="536">
        <v>5.6467523583073067</v>
      </c>
      <c r="S122" s="536">
        <v>6.0809973832803088</v>
      </c>
      <c r="T122" s="536">
        <v>6.7347435093102428</v>
      </c>
      <c r="U122" s="536">
        <v>7.4029791436124874</v>
      </c>
      <c r="V122" s="536">
        <v>7.710430326773853</v>
      </c>
      <c r="W122" s="536">
        <v>7.9202281586254255</v>
      </c>
      <c r="X122" s="536">
        <v>9.0568329579072984</v>
      </c>
      <c r="Y122" s="536">
        <v>10.117062026175065</v>
      </c>
      <c r="Z122" s="536">
        <v>10.877925782169784</v>
      </c>
      <c r="AA122" s="536">
        <v>11.835500133431859</v>
      </c>
      <c r="AB122" s="536">
        <v>12.780707575070226</v>
      </c>
      <c r="AC122" s="536">
        <v>13.895748089551967</v>
      </c>
      <c r="AD122" s="536">
        <v>14.962674784139155</v>
      </c>
      <c r="AE122" s="536">
        <v>15.938984348373571</v>
      </c>
      <c r="AF122" s="536">
        <v>16.648866148946119</v>
      </c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>
      <c r="A123" s="17">
        <v>565</v>
      </c>
      <c r="B123" s="17" t="s">
        <v>120</v>
      </c>
      <c r="C123" s="536">
        <v>4.7262079999999997</v>
      </c>
      <c r="D123" s="536">
        <v>5.0253959999999998</v>
      </c>
      <c r="E123" s="536">
        <v>4.8288659999999997</v>
      </c>
      <c r="F123" s="536">
        <v>4.6160639999999997</v>
      </c>
      <c r="G123" s="536">
        <v>4.5805300000000004</v>
      </c>
      <c r="H123" s="536">
        <v>4.2580549999999997</v>
      </c>
      <c r="I123" s="536">
        <v>4.4403100000000002</v>
      </c>
      <c r="J123" s="536">
        <v>5.4139099999999996</v>
      </c>
      <c r="K123" s="536">
        <v>5.3792679999999997</v>
      </c>
      <c r="L123" s="536">
        <v>5.4641070000000003</v>
      </c>
      <c r="M123" s="536">
        <v>5.6182869999999996</v>
      </c>
      <c r="N123" s="536">
        <v>5.699147953901547</v>
      </c>
      <c r="O123" s="536">
        <v>6.0710934183989975</v>
      </c>
      <c r="P123" s="536">
        <v>5.7432779665149738</v>
      </c>
      <c r="Q123" s="536">
        <v>6.1223780763911542</v>
      </c>
      <c r="R123" s="536">
        <v>6.2880737681517775</v>
      </c>
      <c r="S123" s="536">
        <v>6.7660171601077117</v>
      </c>
      <c r="T123" s="536">
        <v>6.7495422330817236</v>
      </c>
      <c r="U123" s="536">
        <v>7.1460755060806012</v>
      </c>
      <c r="V123" s="536">
        <v>7.2860721470350578</v>
      </c>
      <c r="W123" s="536">
        <v>7.5660048595877143</v>
      </c>
      <c r="X123" s="536">
        <v>7.8589961774363513</v>
      </c>
      <c r="Y123" s="536">
        <v>8.4079990028171405</v>
      </c>
      <c r="Z123" s="536">
        <v>9.1502363702947775</v>
      </c>
      <c r="AA123" s="536">
        <v>9.0832586164465319</v>
      </c>
      <c r="AB123" s="536">
        <v>8.8388603531205554</v>
      </c>
      <c r="AC123" s="536">
        <v>9.7865262546599041</v>
      </c>
      <c r="AD123" s="536">
        <v>9.8078765447198482</v>
      </c>
      <c r="AE123" s="536">
        <v>10.263812414755099</v>
      </c>
      <c r="AF123" s="536">
        <v>9.9907247857665009</v>
      </c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</row>
    <row r="124" spans="1:48">
      <c r="A124" s="17">
        <v>790</v>
      </c>
      <c r="B124" s="17" t="s">
        <v>167</v>
      </c>
      <c r="C124" s="536">
        <v>10.28257</v>
      </c>
      <c r="D124" s="536">
        <v>11.151389999999999</v>
      </c>
      <c r="E124" s="536">
        <v>11.660740000000001</v>
      </c>
      <c r="F124" s="536">
        <v>11.39251</v>
      </c>
      <c r="G124" s="536">
        <v>12.451180000000001</v>
      </c>
      <c r="H124" s="536">
        <v>13.21693</v>
      </c>
      <c r="I124" s="536">
        <v>13.802530000000001</v>
      </c>
      <c r="J124" s="536">
        <v>14.032400000000001</v>
      </c>
      <c r="K124" s="536">
        <v>15.10336</v>
      </c>
      <c r="L124" s="536">
        <v>15.83417</v>
      </c>
      <c r="M124" s="536">
        <v>16.469360000000002</v>
      </c>
      <c r="N124" s="536">
        <v>17.544450732934294</v>
      </c>
      <c r="O124" s="536">
        <v>18.121168089979001</v>
      </c>
      <c r="P124" s="536">
        <v>18.863478395996562</v>
      </c>
      <c r="Q124" s="536">
        <v>20.296936867690235</v>
      </c>
      <c r="R124" s="536">
        <v>21.098452747822034</v>
      </c>
      <c r="S124" s="536">
        <v>22.223879615948174</v>
      </c>
      <c r="T124" s="536">
        <v>23.321152522848362</v>
      </c>
      <c r="U124" s="536">
        <v>24.103489217520007</v>
      </c>
      <c r="V124" s="536">
        <v>25.177675159908969</v>
      </c>
      <c r="W124" s="536">
        <v>26.688515013138655</v>
      </c>
      <c r="X124" s="536">
        <v>26.695572468096064</v>
      </c>
      <c r="Y124" s="536">
        <v>27.799817554314796</v>
      </c>
      <c r="Z124" s="536">
        <v>29.203935968483776</v>
      </c>
      <c r="AA124" s="536">
        <v>30.18397604776063</v>
      </c>
      <c r="AB124" s="536">
        <v>28.334234348024001</v>
      </c>
      <c r="AC124" s="536">
        <v>29.33582688316201</v>
      </c>
      <c r="AD124" s="536">
        <v>30.393055261945229</v>
      </c>
      <c r="AE124" s="536">
        <v>32.172927693227095</v>
      </c>
      <c r="AF124" s="536">
        <v>34.542802657670101</v>
      </c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</row>
    <row r="125" spans="1:48">
      <c r="A125" s="17">
        <v>920</v>
      </c>
      <c r="B125" s="17" t="s">
        <v>179</v>
      </c>
      <c r="C125" s="536">
        <v>55.227960000000003</v>
      </c>
      <c r="D125" s="536">
        <v>57.125149999999998</v>
      </c>
      <c r="E125" s="536">
        <v>57.461620000000003</v>
      </c>
      <c r="F125" s="536">
        <v>60.109569999999998</v>
      </c>
      <c r="G125" s="536">
        <v>63.087530000000001</v>
      </c>
      <c r="H125" s="536">
        <v>63.32056</v>
      </c>
      <c r="I125" s="536">
        <v>64.997780000000006</v>
      </c>
      <c r="J125" s="536">
        <v>65.782269999999997</v>
      </c>
      <c r="K125" s="536">
        <v>66.825670000000002</v>
      </c>
      <c r="L125" s="536">
        <v>66.857110000000006</v>
      </c>
      <c r="M125" s="536">
        <v>66.936359999999993</v>
      </c>
      <c r="N125" s="536">
        <v>66.45295213262159</v>
      </c>
      <c r="O125" s="536">
        <v>67.066016638347563</v>
      </c>
      <c r="P125" s="536">
        <v>70.98399564364469</v>
      </c>
      <c r="Q125" s="536">
        <v>74.821063891682044</v>
      </c>
      <c r="R125" s="536">
        <v>77.840567375695969</v>
      </c>
      <c r="S125" s="536">
        <v>80.32784965981044</v>
      </c>
      <c r="T125" s="536">
        <v>82.910283003381963</v>
      </c>
      <c r="U125" s="536">
        <v>83.934629595560011</v>
      </c>
      <c r="V125" s="536">
        <v>88.056214508886342</v>
      </c>
      <c r="W125" s="536">
        <v>89.950969797147195</v>
      </c>
      <c r="X125" s="536">
        <v>93.116855471536155</v>
      </c>
      <c r="Y125" s="536">
        <v>97.764914857156128</v>
      </c>
      <c r="Z125" s="536">
        <v>101.84926893653092</v>
      </c>
      <c r="AA125" s="536">
        <v>105.50270764751123</v>
      </c>
      <c r="AB125" s="536">
        <v>111.11353417141891</v>
      </c>
      <c r="AC125" s="536">
        <v>113.8450219857566</v>
      </c>
      <c r="AD125" s="536">
        <v>116.93285350427877</v>
      </c>
      <c r="AE125" s="536">
        <v>115.91627368783799</v>
      </c>
      <c r="AF125" s="536">
        <v>117.451432512887</v>
      </c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</row>
    <row r="126" spans="1:48">
      <c r="A126" s="17">
        <v>93</v>
      </c>
      <c r="B126" s="17" t="s">
        <v>20</v>
      </c>
      <c r="C126" s="536">
        <v>8.6756729999999997</v>
      </c>
      <c r="D126" s="536">
        <v>9.4395240000000005</v>
      </c>
      <c r="E126" s="536">
        <v>9.3777830000000009</v>
      </c>
      <c r="F126" s="536">
        <v>10.27619</v>
      </c>
      <c r="G126" s="536">
        <v>10.65509</v>
      </c>
      <c r="H126" s="536">
        <v>10.551159999999999</v>
      </c>
      <c r="I126" s="536">
        <v>10.63157</v>
      </c>
      <c r="J126" s="536">
        <v>10.6988</v>
      </c>
      <c r="K126" s="536">
        <v>8.5820570000000007</v>
      </c>
      <c r="L126" s="536">
        <v>7.8943820000000002</v>
      </c>
      <c r="M126" s="536">
        <v>8.1269860000000005</v>
      </c>
      <c r="N126" s="536">
        <v>7.7801070149185323</v>
      </c>
      <c r="O126" s="536">
        <v>7.705451714451705</v>
      </c>
      <c r="P126" s="536">
        <v>7.4753692767206257</v>
      </c>
      <c r="Q126" s="536">
        <v>7.7091146743060737</v>
      </c>
      <c r="R126" s="536">
        <v>8.1568831018223555</v>
      </c>
      <c r="S126" s="536">
        <v>8.5906185184436019</v>
      </c>
      <c r="T126" s="536">
        <v>8.7733533968280266</v>
      </c>
      <c r="U126" s="536">
        <v>9.0684511548754916</v>
      </c>
      <c r="V126" s="536">
        <v>9.7566243370345873</v>
      </c>
      <c r="W126" s="536">
        <v>10.0744528698942</v>
      </c>
      <c r="X126" s="536">
        <v>10.271169486592001</v>
      </c>
      <c r="Y126" s="536">
        <v>10.3202515024568</v>
      </c>
      <c r="Z126" s="536">
        <v>10.5632416313356</v>
      </c>
      <c r="AA126" s="536">
        <v>11.066677445220298</v>
      </c>
      <c r="AB126" s="536">
        <v>10.8284444102561</v>
      </c>
      <c r="AC126" s="536">
        <v>11.1160860469114</v>
      </c>
      <c r="AD126" s="536">
        <v>11.4277682413856</v>
      </c>
      <c r="AE126" s="536">
        <v>11.816111400882001</v>
      </c>
      <c r="AF126" s="536">
        <v>12.1322589953184</v>
      </c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</row>
    <row r="127" spans="1:48">
      <c r="A127" s="17">
        <v>475</v>
      </c>
      <c r="B127" s="17" t="s">
        <v>99</v>
      </c>
      <c r="C127" s="536">
        <v>108.19710000000001</v>
      </c>
      <c r="D127" s="536">
        <v>107.0389</v>
      </c>
      <c r="E127" s="536">
        <v>107.4205</v>
      </c>
      <c r="F127" s="536">
        <v>102.4372</v>
      </c>
      <c r="G127" s="536">
        <v>103.5318</v>
      </c>
      <c r="H127" s="536">
        <v>112.1904</v>
      </c>
      <c r="I127" s="536">
        <v>98.574060000000003</v>
      </c>
      <c r="J127" s="536">
        <v>88.645210000000006</v>
      </c>
      <c r="K127" s="536">
        <v>96.265420000000006</v>
      </c>
      <c r="L127" s="536">
        <v>102.7978</v>
      </c>
      <c r="M127" s="536">
        <v>113.8252</v>
      </c>
      <c r="N127" s="536">
        <v>115.70978056087885</v>
      </c>
      <c r="O127" s="536">
        <v>114.06433593255868</v>
      </c>
      <c r="P127" s="536">
        <v>116.84101964364461</v>
      </c>
      <c r="Q127" s="536">
        <v>117.17773526828302</v>
      </c>
      <c r="R127" s="536">
        <v>118.70903316942207</v>
      </c>
      <c r="S127" s="536">
        <v>126.2611710288963</v>
      </c>
      <c r="T127" s="536">
        <v>133.64483867598295</v>
      </c>
      <c r="U127" s="536">
        <v>136.83791288460057</v>
      </c>
      <c r="V127" s="536">
        <v>132.86799786912323</v>
      </c>
      <c r="W127" s="536">
        <v>139.75539334756434</v>
      </c>
      <c r="X127" s="536">
        <v>167.70516975312253</v>
      </c>
      <c r="Y127" s="536">
        <v>203.41551346669215</v>
      </c>
      <c r="Z127" s="536">
        <v>233.99015758555899</v>
      </c>
      <c r="AA127" s="536">
        <v>205.61777857719636</v>
      </c>
      <c r="AB127" s="536">
        <v>212.28209186696964</v>
      </c>
      <c r="AC127" s="536">
        <v>226.31855273819741</v>
      </c>
      <c r="AD127" s="536">
        <v>278.25878706590566</v>
      </c>
      <c r="AE127" s="536">
        <v>287.00445416352051</v>
      </c>
      <c r="AF127" s="536">
        <v>303.56143854844498</v>
      </c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</row>
    <row r="128" spans="1:48">
      <c r="A128" s="17">
        <v>436</v>
      </c>
      <c r="B128" s="17" t="s">
        <v>90</v>
      </c>
      <c r="C128" s="536">
        <v>4.1909859999999997</v>
      </c>
      <c r="D128" s="536">
        <v>4.1971119999999997</v>
      </c>
      <c r="E128" s="536">
        <v>4.2329509999999999</v>
      </c>
      <c r="F128" s="536">
        <v>4.0816660000000002</v>
      </c>
      <c r="G128" s="536">
        <v>3.3793820000000001</v>
      </c>
      <c r="H128" s="536">
        <v>3.6398069999999998</v>
      </c>
      <c r="I128" s="536">
        <v>3.9553050000000001</v>
      </c>
      <c r="J128" s="536">
        <v>3.9435880000000001</v>
      </c>
      <c r="K128" s="536">
        <v>4.4283080000000004</v>
      </c>
      <c r="L128" s="536">
        <v>4.282108</v>
      </c>
      <c r="M128" s="536">
        <v>3.9877150000000001</v>
      </c>
      <c r="N128" s="536">
        <v>4.2727204726112946</v>
      </c>
      <c r="O128" s="536">
        <v>4.1225843776069064</v>
      </c>
      <c r="P128" s="536">
        <v>4.1139524375325722</v>
      </c>
      <c r="Q128" s="536">
        <v>4.3902316423350074</v>
      </c>
      <c r="R128" s="536">
        <v>4.4023739815086849</v>
      </c>
      <c r="S128" s="536">
        <v>4.6757956817746145</v>
      </c>
      <c r="T128" s="536">
        <v>4.6993109568952498</v>
      </c>
      <c r="U128" s="536">
        <v>5.3004073847423205</v>
      </c>
      <c r="V128" s="536">
        <v>5.3931868225663342</v>
      </c>
      <c r="W128" s="536">
        <v>5.2173139651397138</v>
      </c>
      <c r="X128" s="536">
        <v>5.626310124366011</v>
      </c>
      <c r="Y128" s="536">
        <v>5.9458693729078149</v>
      </c>
      <c r="Z128" s="536">
        <v>6.4185807107546626</v>
      </c>
      <c r="AA128" s="536">
        <v>6.3259128555820325</v>
      </c>
      <c r="AB128" s="536">
        <v>6.9185745485958821</v>
      </c>
      <c r="AC128" s="536">
        <v>7.3207456890573237</v>
      </c>
      <c r="AD128" s="536">
        <v>7.5689528982769101</v>
      </c>
      <c r="AE128" s="536">
        <v>8.2636731902450915</v>
      </c>
      <c r="AF128" s="536">
        <v>8.1743047672836013</v>
      </c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</row>
    <row r="129" spans="1:48">
      <c r="A129" s="17">
        <v>385</v>
      </c>
      <c r="B129" s="17" t="s">
        <v>78</v>
      </c>
      <c r="C129" s="536">
        <v>105.6465</v>
      </c>
      <c r="D129" s="536">
        <v>107.34910000000001</v>
      </c>
      <c r="E129" s="536">
        <v>108.173</v>
      </c>
      <c r="F129" s="536">
        <v>111.1508</v>
      </c>
      <c r="G129" s="536">
        <v>117.6387</v>
      </c>
      <c r="H129" s="536">
        <v>123.9055</v>
      </c>
      <c r="I129" s="536">
        <v>130.15880000000001</v>
      </c>
      <c r="J129" s="536">
        <v>131.62809999999999</v>
      </c>
      <c r="K129" s="536">
        <v>131.62459999999999</v>
      </c>
      <c r="L129" s="536">
        <v>133.94479999999999</v>
      </c>
      <c r="M129" s="536">
        <v>137.09049999999999</v>
      </c>
      <c r="N129" s="536">
        <v>141.28570047341879</v>
      </c>
      <c r="O129" s="536">
        <v>146.24839454131563</v>
      </c>
      <c r="P129" s="536">
        <v>150.64411088779306</v>
      </c>
      <c r="Q129" s="536">
        <v>158.97789142789085</v>
      </c>
      <c r="R129" s="536">
        <v>166.06603884592093</v>
      </c>
      <c r="S129" s="536">
        <v>175.57248728676907</v>
      </c>
      <c r="T129" s="536">
        <v>186.55819603516272</v>
      </c>
      <c r="U129" s="536">
        <v>191.99116149788711</v>
      </c>
      <c r="V129" s="536">
        <v>195.25136555781688</v>
      </c>
      <c r="W129" s="536">
        <v>201.32168339182678</v>
      </c>
      <c r="X129" s="536">
        <v>205.03948179293366</v>
      </c>
      <c r="Y129" s="536">
        <v>207.72476623385634</v>
      </c>
      <c r="Z129" s="536">
        <v>209.33487484512958</v>
      </c>
      <c r="AA129" s="536">
        <v>217.33662841878143</v>
      </c>
      <c r="AB129" s="536">
        <v>223.68667450276953</v>
      </c>
      <c r="AC129" s="536">
        <v>229.37794877178035</v>
      </c>
      <c r="AD129" s="536">
        <v>235.83590991540837</v>
      </c>
      <c r="AE129" s="536">
        <v>237.28370674672797</v>
      </c>
      <c r="AF129" s="536">
        <v>232.92988952108902</v>
      </c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</row>
    <row r="130" spans="1:48">
      <c r="A130" s="17">
        <v>210</v>
      </c>
      <c r="B130" s="17" t="s">
        <v>37</v>
      </c>
      <c r="C130" s="536">
        <v>343.97269999999997</v>
      </c>
      <c r="D130" s="536">
        <v>338.88729999999998</v>
      </c>
      <c r="E130" s="536">
        <v>335.6918</v>
      </c>
      <c r="F130" s="536">
        <v>341.23200000000003</v>
      </c>
      <c r="G130" s="536">
        <v>349.16289999999998</v>
      </c>
      <c r="H130" s="536">
        <v>357.58710000000002</v>
      </c>
      <c r="I130" s="536">
        <v>369.69920000000002</v>
      </c>
      <c r="J130" s="536">
        <v>378.18259999999998</v>
      </c>
      <c r="K130" s="536">
        <v>389.18520000000001</v>
      </c>
      <c r="L130" s="536">
        <v>404.3306</v>
      </c>
      <c r="M130" s="536">
        <v>420.48079999999999</v>
      </c>
      <c r="N130" s="6">
        <v>431.75322429146439</v>
      </c>
      <c r="O130" s="6">
        <v>441.01953469273235</v>
      </c>
      <c r="P130" s="6">
        <v>446.25394002245366</v>
      </c>
      <c r="Q130" s="6">
        <v>458.67819856818932</v>
      </c>
      <c r="R130" s="6">
        <v>472.7689288068309</v>
      </c>
      <c r="S130" s="6">
        <v>486.57158632699293</v>
      </c>
      <c r="T130" s="6">
        <v>508.22451865675981</v>
      </c>
      <c r="U130" s="6">
        <v>529.6406729355574</v>
      </c>
      <c r="V130" s="6">
        <v>555.25364715394448</v>
      </c>
      <c r="W130" s="6">
        <v>578.12470008832406</v>
      </c>
      <c r="X130" s="6">
        <v>591.13050194384107</v>
      </c>
      <c r="Y130" s="6">
        <v>595.96617083122771</v>
      </c>
      <c r="Z130" s="6">
        <v>599.74339846806947</v>
      </c>
      <c r="AA130" s="6">
        <v>613.41678378210429</v>
      </c>
      <c r="AB130" s="6">
        <v>628.14718392207249</v>
      </c>
      <c r="AC130" s="6">
        <v>653.49073702044336</v>
      </c>
      <c r="AD130" s="6">
        <v>674.27742935368576</v>
      </c>
      <c r="AE130" s="6">
        <v>697.10579111256504</v>
      </c>
      <c r="AF130" s="6">
        <v>678.22928707018809</v>
      </c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</row>
    <row r="131" spans="1:48">
      <c r="A131" s="17">
        <v>698</v>
      </c>
      <c r="B131" s="17" t="s">
        <v>147</v>
      </c>
      <c r="C131" s="536">
        <v>10.76552</v>
      </c>
      <c r="D131" s="536">
        <v>12.71669</v>
      </c>
      <c r="E131" s="536">
        <v>13.6325</v>
      </c>
      <c r="F131" s="536">
        <v>15.33972</v>
      </c>
      <c r="G131" s="536">
        <v>17.06992</v>
      </c>
      <c r="H131" s="536">
        <v>20.203669999999999</v>
      </c>
      <c r="I131" s="536">
        <v>21.603010000000001</v>
      </c>
      <c r="J131" s="536">
        <v>20.586279999999999</v>
      </c>
      <c r="K131" s="536">
        <v>22.156669999999998</v>
      </c>
      <c r="L131" s="536">
        <v>22.87443</v>
      </c>
      <c r="M131" s="536">
        <v>24.296340000000001</v>
      </c>
      <c r="N131" s="536">
        <v>25.876283314386001</v>
      </c>
      <c r="O131" s="536">
        <v>28.504278388376001</v>
      </c>
      <c r="P131" s="536">
        <v>30.75148954098</v>
      </c>
      <c r="Q131" s="536">
        <v>31.774387048872999</v>
      </c>
      <c r="R131" s="536">
        <v>32.818081816833001</v>
      </c>
      <c r="S131" s="536">
        <v>34.475178682999996</v>
      </c>
      <c r="T131" s="536">
        <v>38.983544087660007</v>
      </c>
      <c r="U131" s="536">
        <v>41.202496639229999</v>
      </c>
      <c r="V131" s="536">
        <v>40.404505030560003</v>
      </c>
      <c r="W131" s="536">
        <v>42.343623855872004</v>
      </c>
      <c r="X131" s="536">
        <v>45.075929997200994</v>
      </c>
      <c r="Y131" s="536">
        <v>45.754055768421004</v>
      </c>
      <c r="Z131" s="536">
        <v>46.626216087368007</v>
      </c>
      <c r="AA131" s="536">
        <v>49.525005839903997</v>
      </c>
      <c r="AB131" s="536">
        <v>49.605036205998005</v>
      </c>
      <c r="AC131" s="536">
        <v>52.994955705491996</v>
      </c>
      <c r="AD131" s="536">
        <v>58.132948764799998</v>
      </c>
      <c r="AE131" s="536">
        <v>65.504289337114002</v>
      </c>
      <c r="AF131" s="536">
        <v>59.774090929379994</v>
      </c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>
      <c r="A132" s="17">
        <v>770</v>
      </c>
      <c r="B132" s="17" t="s">
        <v>162</v>
      </c>
      <c r="C132" s="536">
        <v>123.85339999999999</v>
      </c>
      <c r="D132" s="536">
        <v>133.0926</v>
      </c>
      <c r="E132" s="536">
        <v>141.0522</v>
      </c>
      <c r="F132" s="536">
        <v>148.61150000000001</v>
      </c>
      <c r="G132" s="536">
        <v>160.37110000000001</v>
      </c>
      <c r="H132" s="536">
        <v>168.01570000000001</v>
      </c>
      <c r="I132" s="536">
        <v>178.5626</v>
      </c>
      <c r="J132" s="536">
        <v>193.5033</v>
      </c>
      <c r="K132" s="536">
        <v>202.28809999999999</v>
      </c>
      <c r="L132" s="536">
        <v>212.11070000000001</v>
      </c>
      <c r="M132" s="536">
        <v>221.643</v>
      </c>
      <c r="N132" s="536">
        <v>237.18631684089999</v>
      </c>
      <c r="O132" s="536">
        <v>239.35775817680098</v>
      </c>
      <c r="P132" s="536">
        <v>249.3028844963934</v>
      </c>
      <c r="Q132" s="536">
        <v>262.89406332101225</v>
      </c>
      <c r="R132" s="536">
        <v>275.46977205405449</v>
      </c>
      <c r="S132" s="536">
        <v>279.5154520826336</v>
      </c>
      <c r="T132" s="536">
        <v>254.643755372242</v>
      </c>
      <c r="U132" s="536">
        <v>262.345838455935</v>
      </c>
      <c r="V132" s="536">
        <v>272.55074999174332</v>
      </c>
      <c r="W132" s="536">
        <v>283.29554284226231</v>
      </c>
      <c r="X132" s="536">
        <v>287.87069259168896</v>
      </c>
      <c r="Y132" s="536">
        <v>297.16902602441371</v>
      </c>
      <c r="Z132" s="536">
        <v>309.51637914274198</v>
      </c>
      <c r="AA132" s="536">
        <v>333.65218767683041</v>
      </c>
      <c r="AB132" s="536">
        <v>357.5852545855854</v>
      </c>
      <c r="AC132" s="536">
        <v>380.62597690077246</v>
      </c>
      <c r="AD132" s="536">
        <v>402.19609171302403</v>
      </c>
      <c r="AE132" s="536">
        <v>413.59413238521836</v>
      </c>
      <c r="AF132" s="536">
        <v>426.98815889539924</v>
      </c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</row>
    <row r="133" spans="1:48">
      <c r="A133" s="17">
        <v>986</v>
      </c>
      <c r="B133" s="17" t="s">
        <v>188</v>
      </c>
      <c r="C133" s="536">
        <v>0.2423969</v>
      </c>
      <c r="D133" s="536">
        <v>0.21810350000000001</v>
      </c>
      <c r="E133" s="536">
        <v>0.22537450000000001</v>
      </c>
      <c r="F133" s="536">
        <v>0.22317010000000001</v>
      </c>
      <c r="G133" s="536">
        <v>0.2284535</v>
      </c>
      <c r="H133" s="536">
        <v>0.20763889999999999</v>
      </c>
      <c r="I133" s="536">
        <v>0.20654919999999999</v>
      </c>
      <c r="J133" s="536">
        <v>0.20419280000000001</v>
      </c>
      <c r="K133" s="536">
        <v>0.24647559999999999</v>
      </c>
      <c r="L133" s="536">
        <v>0.25655139999999999</v>
      </c>
      <c r="M133" s="536">
        <v>0.27425159999999998</v>
      </c>
      <c r="N133" s="536">
        <v>0.26512173899559199</v>
      </c>
      <c r="O133" s="536">
        <v>0.25192276156464999</v>
      </c>
      <c r="P133" s="536">
        <v>0.21229464647244803</v>
      </c>
      <c r="Q133" s="536">
        <v>0.22430071597321799</v>
      </c>
      <c r="R133" s="536">
        <v>0.258884130198902</v>
      </c>
      <c r="S133" s="536">
        <v>0.29486909151032797</v>
      </c>
      <c r="T133" s="536">
        <v>0.28566503993446996</v>
      </c>
      <c r="U133" s="536">
        <v>0.27444960907338001</v>
      </c>
      <c r="V133" s="536">
        <v>0.25663431529963204</v>
      </c>
      <c r="W133" s="536">
        <v>0.26092814733101605</v>
      </c>
      <c r="X133" s="536">
        <v>0.27590931262267199</v>
      </c>
      <c r="Y133" s="536">
        <v>0.27434502330031207</v>
      </c>
      <c r="Z133" s="536">
        <v>0.26660969211948804</v>
      </c>
      <c r="AA133" s="536">
        <v>0.28207490441558997</v>
      </c>
      <c r="AB133" s="536">
        <v>0.28832899507554399</v>
      </c>
      <c r="AC133" s="536">
        <v>0.30395980420372798</v>
      </c>
      <c r="AD133" s="536">
        <v>0.30975019384998698</v>
      </c>
      <c r="AE133" s="536">
        <v>0.30602758821600001</v>
      </c>
      <c r="AF133" s="536">
        <v>0.314740225338</v>
      </c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</row>
    <row r="134" spans="1:48">
      <c r="A134" s="17">
        <v>95</v>
      </c>
      <c r="B134" s="17" t="s">
        <v>22</v>
      </c>
      <c r="C134" s="536">
        <v>10.377370000000001</v>
      </c>
      <c r="D134" s="536">
        <v>11.25727</v>
      </c>
      <c r="E134" s="536">
        <v>11.940239999999999</v>
      </c>
      <c r="F134" s="536">
        <v>11.324439999999999</v>
      </c>
      <c r="G134" s="536">
        <v>11.611190000000001</v>
      </c>
      <c r="H134" s="536">
        <v>12.57166</v>
      </c>
      <c r="I134" s="536">
        <v>13.11989</v>
      </c>
      <c r="J134" s="536">
        <v>13.343209999999999</v>
      </c>
      <c r="K134" s="536">
        <v>12.40897</v>
      </c>
      <c r="L134" s="536">
        <v>12.621510000000001</v>
      </c>
      <c r="M134" s="536">
        <v>13.50497</v>
      </c>
      <c r="N134" s="536">
        <v>15.360725022983381</v>
      </c>
      <c r="O134" s="536">
        <v>15.747425582868955</v>
      </c>
      <c r="P134" s="536">
        <v>16.074819985947336</v>
      </c>
      <c r="Q134" s="536">
        <v>16.284479347768428</v>
      </c>
      <c r="R134" s="536">
        <v>16.767960547644044</v>
      </c>
      <c r="S134" s="536">
        <v>16.870487708560102</v>
      </c>
      <c r="T134" s="536">
        <v>17.849385630099619</v>
      </c>
      <c r="U134" s="536">
        <v>18.895684994777685</v>
      </c>
      <c r="V134" s="536">
        <v>19.480806309053957</v>
      </c>
      <c r="W134" s="536">
        <v>20.183481361468928</v>
      </c>
      <c r="X134" s="536">
        <v>20.358658935651484</v>
      </c>
      <c r="Y134" s="536">
        <v>20.792067088791853</v>
      </c>
      <c r="Z134" s="536">
        <v>21.205645772027168</v>
      </c>
      <c r="AA134" s="536">
        <v>23.052027019408143</v>
      </c>
      <c r="AB134" s="536">
        <v>24.671100008720494</v>
      </c>
      <c r="AC134" s="536">
        <v>26.79610819296866</v>
      </c>
      <c r="AD134" s="536">
        <v>30.272329997229416</v>
      </c>
      <c r="AE134" s="536">
        <v>33.459944536629997</v>
      </c>
      <c r="AF134" s="536">
        <v>34.228437727679996</v>
      </c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>
      <c r="A135" s="17">
        <v>150</v>
      </c>
      <c r="B135" s="17" t="s">
        <v>31</v>
      </c>
      <c r="C135" s="536">
        <v>11.907629999999999</v>
      </c>
      <c r="D135" s="536">
        <v>12.58412</v>
      </c>
      <c r="E135" s="536">
        <v>12.43093</v>
      </c>
      <c r="F135" s="536">
        <v>12.1555</v>
      </c>
      <c r="G135" s="536">
        <v>12.582789999999999</v>
      </c>
      <c r="H135" s="536">
        <v>13.267899999999999</v>
      </c>
      <c r="I135" s="536">
        <v>13.24682</v>
      </c>
      <c r="J135" s="536">
        <v>13.659689999999999</v>
      </c>
      <c r="K135" s="536">
        <v>14.92144</v>
      </c>
      <c r="L135" s="536">
        <v>16.233899999999998</v>
      </c>
      <c r="M135" s="536">
        <v>16.07105</v>
      </c>
      <c r="N135" s="536">
        <v>16.244964053202647</v>
      </c>
      <c r="O135" s="536">
        <v>16.243763564650735</v>
      </c>
      <c r="P135" s="536">
        <v>16.994215004002442</v>
      </c>
      <c r="Q135" s="536">
        <v>16.639306315069106</v>
      </c>
      <c r="R135" s="536">
        <v>17.477881948850332</v>
      </c>
      <c r="S135" s="536">
        <v>17.720162976273436</v>
      </c>
      <c r="T135" s="536">
        <v>18.382668542486666</v>
      </c>
      <c r="U135" s="536">
        <v>18.737551488279777</v>
      </c>
      <c r="V135" s="536">
        <v>19.072206175337552</v>
      </c>
      <c r="W135" s="536">
        <v>18.405193884335997</v>
      </c>
      <c r="X135" s="536">
        <v>18.881997849768901</v>
      </c>
      <c r="Y135" s="536">
        <v>19.030498808788099</v>
      </c>
      <c r="Z135" s="536">
        <v>19.821279871466</v>
      </c>
      <c r="AA135" s="536">
        <v>20.639879789969999</v>
      </c>
      <c r="AB135" s="536">
        <v>21.0639697016634</v>
      </c>
      <c r="AC135" s="536">
        <v>21.792138668790002</v>
      </c>
      <c r="AD135" s="536">
        <v>23.138800945975596</v>
      </c>
      <c r="AE135" s="536">
        <v>24.153224747426201</v>
      </c>
      <c r="AF135" s="536">
        <v>23.288013006531298</v>
      </c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</row>
    <row r="136" spans="1:48">
      <c r="A136" s="17">
        <v>135</v>
      </c>
      <c r="B136" s="17" t="s">
        <v>28</v>
      </c>
      <c r="C136" s="536">
        <v>96.900700000000001</v>
      </c>
      <c r="D136" s="536">
        <v>102.583</v>
      </c>
      <c r="E136" s="536">
        <v>102.2962</v>
      </c>
      <c r="F136" s="536">
        <v>88.731520000000003</v>
      </c>
      <c r="G136" s="536">
        <v>91.523499999999999</v>
      </c>
      <c r="H136" s="536">
        <v>93.041160000000005</v>
      </c>
      <c r="I136" s="536">
        <v>104.5076</v>
      </c>
      <c r="J136" s="536">
        <v>115.0282</v>
      </c>
      <c r="K136" s="536">
        <v>105.63590000000001</v>
      </c>
      <c r="L136" s="536">
        <v>89.882050000000007</v>
      </c>
      <c r="M136" s="536">
        <v>86.736099999999993</v>
      </c>
      <c r="N136" s="536">
        <v>89.025605576835915</v>
      </c>
      <c r="O136" s="536">
        <v>88.594893643105848</v>
      </c>
      <c r="P136" s="536">
        <v>93.024212513743109</v>
      </c>
      <c r="Q136" s="536">
        <v>105.67004223240515</v>
      </c>
      <c r="R136" s="536">
        <v>114.91988448797858</v>
      </c>
      <c r="S136" s="536">
        <v>117.61575567120232</v>
      </c>
      <c r="T136" s="536">
        <v>126.08652565074213</v>
      </c>
      <c r="U136" s="536">
        <v>125.16658643604559</v>
      </c>
      <c r="V136" s="536">
        <v>125.94359479225879</v>
      </c>
      <c r="W136" s="536">
        <v>129.57300291083732</v>
      </c>
      <c r="X136" s="536">
        <v>129.80631394595099</v>
      </c>
      <c r="Y136" s="536">
        <v>136.631415360848</v>
      </c>
      <c r="Z136" s="536">
        <v>142.2560380084827</v>
      </c>
      <c r="AA136" s="536">
        <v>149.95515124588999</v>
      </c>
      <c r="AB136" s="536">
        <v>160.19906483676962</v>
      </c>
      <c r="AC136" s="536">
        <v>172.90740389516739</v>
      </c>
      <c r="AD136" s="536">
        <v>189.34291688697002</v>
      </c>
      <c r="AE136" s="536">
        <v>208.8074760775668</v>
      </c>
      <c r="AF136" s="536">
        <v>208.51301464973281</v>
      </c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</row>
    <row r="137" spans="1:48">
      <c r="A137" s="17">
        <v>840</v>
      </c>
      <c r="B137" s="17" t="s">
        <v>175</v>
      </c>
      <c r="C137" s="536">
        <v>110.1233</v>
      </c>
      <c r="D137" s="536">
        <v>116.0115</v>
      </c>
      <c r="E137" s="536">
        <v>117.1925</v>
      </c>
      <c r="F137" s="536">
        <v>121.45440000000001</v>
      </c>
      <c r="G137" s="536">
        <v>115.7595</v>
      </c>
      <c r="H137" s="536">
        <v>106.608</v>
      </c>
      <c r="I137" s="536">
        <v>113.05710000000001</v>
      </c>
      <c r="J137" s="536">
        <v>114.3464</v>
      </c>
      <c r="K137" s="536">
        <v>121.55419999999999</v>
      </c>
      <c r="L137" s="536">
        <v>128.47659999999999</v>
      </c>
      <c r="M137" s="536">
        <v>134.43119999999999</v>
      </c>
      <c r="N137" s="536">
        <v>134.67388394448628</v>
      </c>
      <c r="O137" s="536">
        <v>137.39654548040895</v>
      </c>
      <c r="P137" s="536">
        <v>139.92923732334796</v>
      </c>
      <c r="Q137" s="536">
        <v>148.51274933747825</v>
      </c>
      <c r="R137" s="536">
        <v>150.55892060849004</v>
      </c>
      <c r="S137" s="536">
        <v>157.43617360022014</v>
      </c>
      <c r="T137" s="536">
        <v>169.34124599500979</v>
      </c>
      <c r="U137" s="536">
        <v>163.03936233572657</v>
      </c>
      <c r="V137" s="536">
        <v>172.28382958358858</v>
      </c>
      <c r="W137" s="536">
        <v>195.70752619608174</v>
      </c>
      <c r="X137" s="536">
        <v>190.33317013783309</v>
      </c>
      <c r="Y137" s="536">
        <v>192.11428766090691</v>
      </c>
      <c r="Z137" s="536">
        <v>194.72849425102308</v>
      </c>
      <c r="AA137" s="536">
        <v>215.13335925384899</v>
      </c>
      <c r="AB137" s="536">
        <v>222.64752337768024</v>
      </c>
      <c r="AC137" s="536">
        <v>249.75067342073856</v>
      </c>
      <c r="AD137" s="536">
        <v>279.07904620963797</v>
      </c>
      <c r="AE137" s="536">
        <v>284.43523736550122</v>
      </c>
      <c r="AF137" s="536">
        <v>278.18877322354797</v>
      </c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</row>
    <row r="138" spans="1:48">
      <c r="A138" s="17">
        <v>910</v>
      </c>
      <c r="B138" s="17" t="s">
        <v>178</v>
      </c>
      <c r="C138" s="536">
        <v>6.1999649999999997</v>
      </c>
      <c r="D138" s="536">
        <v>6.2899200000000004</v>
      </c>
      <c r="E138" s="536">
        <v>6.2435809999999998</v>
      </c>
      <c r="F138" s="536">
        <v>6.5130150000000002</v>
      </c>
      <c r="G138" s="536">
        <v>6.4701129999999996</v>
      </c>
      <c r="H138" s="536">
        <v>6.8173149999999998</v>
      </c>
      <c r="I138" s="536">
        <v>7.1029559999999998</v>
      </c>
      <c r="J138" s="536">
        <v>7.2926799999999998</v>
      </c>
      <c r="K138" s="536">
        <v>7.3926059999999998</v>
      </c>
      <c r="L138" s="536">
        <v>7.3617049999999997</v>
      </c>
      <c r="M138" s="536">
        <v>6.9978809999999996</v>
      </c>
      <c r="N138" s="536">
        <v>7.6423142599739755</v>
      </c>
      <c r="O138" s="536">
        <v>7.8518783874404523</v>
      </c>
      <c r="P138" s="536">
        <v>9.7862061880025397</v>
      </c>
      <c r="Q138" s="536">
        <v>10.345418497876885</v>
      </c>
      <c r="R138" s="536">
        <v>9.9612281282950139</v>
      </c>
      <c r="S138" s="536">
        <v>10.670903046675599</v>
      </c>
      <c r="T138" s="536">
        <v>10.644406190270384</v>
      </c>
      <c r="U138" s="536">
        <v>11.199261251010997</v>
      </c>
      <c r="V138" s="536">
        <v>11.4025874910913</v>
      </c>
      <c r="W138" s="536">
        <v>10.563713759055902</v>
      </c>
      <c r="X138" s="536">
        <v>10.388684474648436</v>
      </c>
      <c r="Y138" s="536">
        <v>10.752272743777288</v>
      </c>
      <c r="Z138" s="536">
        <v>10.635026328562155</v>
      </c>
      <c r="AA138" s="536">
        <v>11.087314160258851</v>
      </c>
      <c r="AB138" s="536">
        <v>12.204608028499052</v>
      </c>
      <c r="AC138" s="536">
        <v>12.607058954145019</v>
      </c>
      <c r="AD138" s="536">
        <v>14.036414698708889</v>
      </c>
      <c r="AE138" s="536">
        <v>15.974913714224002</v>
      </c>
      <c r="AF138" s="536">
        <v>16.3584568825964</v>
      </c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</row>
    <row r="139" spans="1:48">
      <c r="A139" s="17">
        <v>290</v>
      </c>
      <c r="B139" s="17" t="s">
        <v>48</v>
      </c>
      <c r="C139" s="536">
        <v>310.08640000000003</v>
      </c>
      <c r="D139" s="536">
        <v>287.72059999999999</v>
      </c>
      <c r="E139" s="536">
        <v>262.0147</v>
      </c>
      <c r="F139" s="536">
        <v>277.31169999999997</v>
      </c>
      <c r="G139" s="536">
        <v>291.8261</v>
      </c>
      <c r="H139" s="536">
        <v>300.41879999999998</v>
      </c>
      <c r="I139" s="536">
        <v>313.2681</v>
      </c>
      <c r="J139" s="536">
        <v>319.96449999999999</v>
      </c>
      <c r="K139" s="536">
        <v>332.68689999999998</v>
      </c>
      <c r="L139" s="536">
        <v>333.00529999999998</v>
      </c>
      <c r="M139" s="536">
        <v>291.85719999999998</v>
      </c>
      <c r="N139" s="536">
        <v>287.35566938804249</v>
      </c>
      <c r="O139" s="536">
        <v>294.38639440787296</v>
      </c>
      <c r="P139" s="536">
        <v>307.14995302041518</v>
      </c>
      <c r="Q139" s="536">
        <v>322.70981400074976</v>
      </c>
      <c r="R139" s="536">
        <v>341.94101652643928</v>
      </c>
      <c r="S139" s="536">
        <v>363.54567038316816</v>
      </c>
      <c r="T139" s="536">
        <v>388.01993885085312</v>
      </c>
      <c r="U139" s="536">
        <v>406.54553089854278</v>
      </c>
      <c r="V139" s="536">
        <v>425.8080044012861</v>
      </c>
      <c r="W139" s="536">
        <v>443.64033980971408</v>
      </c>
      <c r="X139" s="536">
        <v>451.20118481366217</v>
      </c>
      <c r="Y139" s="536">
        <v>459.41214975388448</v>
      </c>
      <c r="Z139" s="536">
        <v>476.92895328660052</v>
      </c>
      <c r="AA139" s="536">
        <v>502.69599391486156</v>
      </c>
      <c r="AB139" s="536">
        <v>519.81811782016348</v>
      </c>
      <c r="AC139" s="536">
        <v>551.66114890014865</v>
      </c>
      <c r="AD139" s="536">
        <v>587.36748440196243</v>
      </c>
      <c r="AE139" s="536">
        <v>617.41117794694696</v>
      </c>
      <c r="AF139" s="536">
        <v>629.70790149675997</v>
      </c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</row>
    <row r="140" spans="1:48">
      <c r="A140" s="17">
        <v>235</v>
      </c>
      <c r="B140" s="17" t="s">
        <v>46</v>
      </c>
      <c r="C140" s="536">
        <v>106.6405</v>
      </c>
      <c r="D140" s="536">
        <v>109.261</v>
      </c>
      <c r="E140" s="536">
        <v>111.77290000000001</v>
      </c>
      <c r="F140" s="536">
        <v>109.1087</v>
      </c>
      <c r="G140" s="536">
        <v>104.9859</v>
      </c>
      <c r="H140" s="536">
        <v>107.2086</v>
      </c>
      <c r="I140" s="536">
        <v>114.1666</v>
      </c>
      <c r="J140" s="536">
        <v>122.80110000000001</v>
      </c>
      <c r="K140" s="536">
        <v>133.4091</v>
      </c>
      <c r="L140" s="536">
        <v>139.36439999999999</v>
      </c>
      <c r="M140" s="536">
        <v>147.6969</v>
      </c>
      <c r="N140" s="536">
        <v>151.59400661435603</v>
      </c>
      <c r="O140" s="536">
        <v>153.87876842831361</v>
      </c>
      <c r="P140" s="536">
        <v>151.64284116441451</v>
      </c>
      <c r="Q140" s="536">
        <v>157.42946282493048</v>
      </c>
      <c r="R140" s="536">
        <v>160.61042835937181</v>
      </c>
      <c r="S140" s="536">
        <v>166.42448777362134</v>
      </c>
      <c r="T140" s="536">
        <v>174.33782563406044</v>
      </c>
      <c r="U140" s="536">
        <v>183.9543960751997</v>
      </c>
      <c r="V140" s="536">
        <v>191.62792080654782</v>
      </c>
      <c r="W140" s="536">
        <v>198.82015414705543</v>
      </c>
      <c r="X140" s="536">
        <v>202.70103785391925</v>
      </c>
      <c r="Y140" s="536">
        <v>203.4788455532123</v>
      </c>
      <c r="Z140" s="536">
        <v>200.97856757420388</v>
      </c>
      <c r="AA140" s="536">
        <v>203.99554506756905</v>
      </c>
      <c r="AB140" s="536">
        <v>212.35067298287296</v>
      </c>
      <c r="AC140" s="536">
        <v>215.86114108508207</v>
      </c>
      <c r="AD140" s="536">
        <v>220.30883377784281</v>
      </c>
      <c r="AE140" s="536">
        <v>220.484849428947</v>
      </c>
      <c r="AF140" s="536">
        <v>213.13208773514003</v>
      </c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</row>
    <row r="141" spans="1:48">
      <c r="A141" s="17">
        <v>694</v>
      </c>
      <c r="B141" s="17" t="s">
        <v>145</v>
      </c>
      <c r="C141" s="536"/>
      <c r="D141" s="536"/>
      <c r="E141" s="536"/>
      <c r="F141" s="536"/>
      <c r="G141" s="536"/>
      <c r="H141" s="536"/>
      <c r="I141" s="536">
        <v>19.765219999999999</v>
      </c>
      <c r="J141" s="536">
        <v>18.75967</v>
      </c>
      <c r="K141" s="536">
        <v>20.532540000000001</v>
      </c>
      <c r="L141" s="536">
        <v>21.986709999999999</v>
      </c>
      <c r="M141" s="536">
        <v>23.564540000000001</v>
      </c>
      <c r="N141" s="536">
        <v>22.972108153233915</v>
      </c>
      <c r="O141" s="536">
        <v>26.101525806053992</v>
      </c>
      <c r="P141" s="536">
        <v>25.179847616292701</v>
      </c>
      <c r="Q141" s="536">
        <v>26.043633326834417</v>
      </c>
      <c r="R141" s="536">
        <v>25.986845824012743</v>
      </c>
      <c r="S141" s="536">
        <v>26.854517589889731</v>
      </c>
      <c r="T141" s="536">
        <v>34.528573529725939</v>
      </c>
      <c r="U141" s="536">
        <v>40.394255994958627</v>
      </c>
      <c r="V141" s="536">
        <v>42.521617892060867</v>
      </c>
      <c r="W141" s="536">
        <v>46.614047028976913</v>
      </c>
      <c r="X141" s="536">
        <v>47.695197161599481</v>
      </c>
      <c r="Y141" s="536">
        <v>50.256462374477671</v>
      </c>
      <c r="Z141" s="536">
        <v>52.10309489017741</v>
      </c>
      <c r="AA141" s="536">
        <v>63.799587242311361</v>
      </c>
      <c r="AB141" s="536">
        <v>68.667166882258982</v>
      </c>
      <c r="AC141" s="536">
        <v>86.024492704976652</v>
      </c>
      <c r="AD141" s="536">
        <v>100.48236591170176</v>
      </c>
      <c r="AE141" s="536">
        <v>123.59068946400001</v>
      </c>
      <c r="AF141" s="536">
        <v>132.56735071545</v>
      </c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</row>
    <row r="142" spans="1:48">
      <c r="A142" s="17">
        <v>732</v>
      </c>
      <c r="B142" s="17" t="s">
        <v>158</v>
      </c>
      <c r="C142" s="536">
        <v>204.75559999999999</v>
      </c>
      <c r="D142" s="536">
        <v>214.42439999999999</v>
      </c>
      <c r="E142" s="536">
        <v>230.31909999999999</v>
      </c>
      <c r="F142" s="536">
        <v>254.5172</v>
      </c>
      <c r="G142" s="536">
        <v>278.74250000000001</v>
      </c>
      <c r="H142" s="536">
        <v>296.40390000000002</v>
      </c>
      <c r="I142" s="536">
        <v>324.94369999999998</v>
      </c>
      <c r="J142" s="536">
        <v>361.30680000000001</v>
      </c>
      <c r="K142" s="536">
        <v>401.27260000000001</v>
      </c>
      <c r="L142" s="536">
        <v>437.1497</v>
      </c>
      <c r="M142" s="536">
        <v>490.50279999999998</v>
      </c>
      <c r="N142" s="6">
        <v>539.59944580377032</v>
      </c>
      <c r="O142" s="6">
        <v>563.87032962894102</v>
      </c>
      <c r="P142" s="6">
        <v>598.3359777072983</v>
      </c>
      <c r="Q142" s="6">
        <v>655.79584968154222</v>
      </c>
      <c r="R142" s="6">
        <v>711.81478908205236</v>
      </c>
      <c r="S142" s="6">
        <v>765.31595539718876</v>
      </c>
      <c r="T142" s="6">
        <v>804.03496664875809</v>
      </c>
      <c r="U142" s="6">
        <v>723.12929367618926</v>
      </c>
      <c r="V142" s="6">
        <v>814.76255077883047</v>
      </c>
      <c r="W142" s="6">
        <v>886.27911525233662</v>
      </c>
      <c r="X142" s="6">
        <v>919.3411871046419</v>
      </c>
      <c r="Y142" s="6">
        <v>986.05153053396293</v>
      </c>
      <c r="Z142" s="6">
        <v>1011.9839734780253</v>
      </c>
      <c r="AA142" s="6">
        <v>1054.271077086468</v>
      </c>
      <c r="AB142" s="6">
        <v>1094.9059070924529</v>
      </c>
      <c r="AC142" s="6">
        <v>1148.664107799993</v>
      </c>
      <c r="AD142" s="6">
        <v>1209.2294959363021</v>
      </c>
      <c r="AE142" s="6">
        <v>1235.691225675446</v>
      </c>
      <c r="AF142" s="6">
        <v>1215.057454220753</v>
      </c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</row>
    <row r="143" spans="1:48">
      <c r="A143" s="17">
        <v>360</v>
      </c>
      <c r="B143" s="17" t="s">
        <v>66</v>
      </c>
      <c r="C143" s="536">
        <v>163.5907</v>
      </c>
      <c r="D143" s="536">
        <v>158.4966</v>
      </c>
      <c r="E143" s="536">
        <v>160.24959999999999</v>
      </c>
      <c r="F143" s="536">
        <v>162.0085</v>
      </c>
      <c r="G143" s="536">
        <v>167.3245</v>
      </c>
      <c r="H143" s="536">
        <v>165.786</v>
      </c>
      <c r="I143" s="536">
        <v>170.5318</v>
      </c>
      <c r="J143" s="536">
        <v>172.49930000000001</v>
      </c>
      <c r="K143" s="536">
        <v>173.55080000000001</v>
      </c>
      <c r="L143" s="536">
        <v>163.02619999999999</v>
      </c>
      <c r="M143" s="536">
        <v>156.88210000000001</v>
      </c>
      <c r="N143" s="536">
        <v>134.8935061844011</v>
      </c>
      <c r="O143" s="536">
        <v>124.53690628852668</v>
      </c>
      <c r="P143" s="536">
        <v>125.80491173437021</v>
      </c>
      <c r="Q143" s="536">
        <v>130.36801550393596</v>
      </c>
      <c r="R143" s="536">
        <v>139.06192693824624</v>
      </c>
      <c r="S143" s="536">
        <v>145.30812407034617</v>
      </c>
      <c r="T143" s="536">
        <v>137.32076577397675</v>
      </c>
      <c r="U143" s="536">
        <v>133.87136584460373</v>
      </c>
      <c r="V143" s="536">
        <v>131.67736337817476</v>
      </c>
      <c r="W143" s="536">
        <v>137.31725104991011</v>
      </c>
      <c r="X143" s="536">
        <v>145.962160598119</v>
      </c>
      <c r="Y143" s="536">
        <v>153.3961612763926</v>
      </c>
      <c r="Z143" s="536">
        <v>162.43235369596948</v>
      </c>
      <c r="AA143" s="536">
        <v>176.39045152778883</v>
      </c>
      <c r="AB143" s="536">
        <v>185.2436674618593</v>
      </c>
      <c r="AC143" s="536">
        <v>200.26221596696499</v>
      </c>
      <c r="AD143" s="536">
        <v>210.52692704748179</v>
      </c>
      <c r="AE143" s="536">
        <v>225.79519701151401</v>
      </c>
      <c r="AF143" s="536">
        <v>214.43197611329842</v>
      </c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</row>
    <row r="144" spans="1:48">
      <c r="A144" s="17">
        <v>365</v>
      </c>
      <c r="B144" s="17" t="s">
        <v>67</v>
      </c>
      <c r="C144" s="536"/>
      <c r="D144" s="536"/>
      <c r="E144" s="536"/>
      <c r="F144" s="536"/>
      <c r="G144" s="536"/>
      <c r="H144" s="536"/>
      <c r="I144" s="536"/>
      <c r="J144" s="536"/>
      <c r="K144" s="536"/>
      <c r="L144" s="536"/>
      <c r="M144" s="536">
        <v>1911.1</v>
      </c>
      <c r="N144" s="536">
        <v>1979.8030068399762</v>
      </c>
      <c r="O144" s="536">
        <v>1595.6266469439122</v>
      </c>
      <c r="P144" s="536">
        <v>1426.0431877640988</v>
      </c>
      <c r="Q144" s="536">
        <v>1274.6891057247358</v>
      </c>
      <c r="R144" s="536">
        <v>1223.1752038660904</v>
      </c>
      <c r="S144" s="536">
        <v>1177.4644455751966</v>
      </c>
      <c r="T144" s="536">
        <v>1188.0255784459023</v>
      </c>
      <c r="U144" s="536">
        <v>1117.1835800780518</v>
      </c>
      <c r="V144" s="536">
        <v>1162.2637205070901</v>
      </c>
      <c r="W144" s="536">
        <v>1279.3462496762436</v>
      </c>
      <c r="X144" s="536">
        <v>1352.8516246392692</v>
      </c>
      <c r="Y144" s="536">
        <v>1425.180700738855</v>
      </c>
      <c r="Z144" s="536">
        <v>1530.3385772279594</v>
      </c>
      <c r="AA144" s="536">
        <v>1662.1036387657623</v>
      </c>
      <c r="AB144" s="536">
        <v>1764.2539669712464</v>
      </c>
      <c r="AC144" s="536">
        <v>1893.9280419208526</v>
      </c>
      <c r="AD144" s="536">
        <v>2049.3683477961176</v>
      </c>
      <c r="AE144" s="536">
        <v>2155.1180885477661</v>
      </c>
      <c r="AF144" s="536">
        <v>2050.9483047119547</v>
      </c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</row>
    <row r="145" spans="1:48">
      <c r="A145" s="17">
        <v>517</v>
      </c>
      <c r="B145" s="17" t="s">
        <v>109</v>
      </c>
      <c r="C145" s="536">
        <v>4.0273099999999999</v>
      </c>
      <c r="D145" s="536">
        <v>5.2838430000000001</v>
      </c>
      <c r="E145" s="536">
        <v>4.5331729999999997</v>
      </c>
      <c r="F145" s="536">
        <v>4.9736419999999999</v>
      </c>
      <c r="G145" s="536">
        <v>4.3262919999999996</v>
      </c>
      <c r="H145" s="536">
        <v>4.5055550000000002</v>
      </c>
      <c r="I145" s="536">
        <v>4.6978989999999996</v>
      </c>
      <c r="J145" s="536">
        <v>4.8731920000000004</v>
      </c>
      <c r="K145" s="536">
        <v>4.6893729999999998</v>
      </c>
      <c r="L145" s="536">
        <v>4.861917</v>
      </c>
      <c r="M145" s="536">
        <v>5.4092750000000001</v>
      </c>
      <c r="N145" s="536">
        <v>5.7410197311169968</v>
      </c>
      <c r="O145" s="536">
        <v>6.2034338548029968</v>
      </c>
      <c r="P145" s="536">
        <v>5.4445449410817757</v>
      </c>
      <c r="Q145" s="536">
        <v>2.4540007497046794</v>
      </c>
      <c r="R145" s="536">
        <v>3.5531724717794249</v>
      </c>
      <c r="S145" s="536">
        <v>4.2284309011472594</v>
      </c>
      <c r="T145" s="536">
        <v>4.5972512134194341</v>
      </c>
      <c r="U145" s="536">
        <v>5.0079994783378563</v>
      </c>
      <c r="V145" s="536">
        <v>5.3353580233977604</v>
      </c>
      <c r="W145" s="536">
        <v>5.55676423138096</v>
      </c>
      <c r="X145" s="536">
        <v>5.9740273698006705</v>
      </c>
      <c r="Y145" s="536">
        <v>6.5444069635350202</v>
      </c>
      <c r="Z145" s="536">
        <v>6.60091944848228</v>
      </c>
      <c r="AA145" s="536">
        <v>6.9387355491451803</v>
      </c>
      <c r="AB145" s="536">
        <v>8.063812724837101</v>
      </c>
      <c r="AC145" s="536">
        <v>8.7782762056618999</v>
      </c>
      <c r="AD145" s="536">
        <v>9.3713564057809098</v>
      </c>
      <c r="AE145" s="536">
        <v>10.374578647162801</v>
      </c>
      <c r="AF145" s="536">
        <v>11.070948451966203</v>
      </c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</row>
    <row r="146" spans="1:48">
      <c r="A146" s="17">
        <v>560</v>
      </c>
      <c r="B146" s="17" t="s">
        <v>119</v>
      </c>
      <c r="C146" s="536">
        <v>178.62039999999999</v>
      </c>
      <c r="D146" s="536">
        <v>185.42509999999999</v>
      </c>
      <c r="E146" s="536">
        <v>181.339</v>
      </c>
      <c r="F146" s="536">
        <v>191.9117</v>
      </c>
      <c r="G146" s="536">
        <v>194.05629999999999</v>
      </c>
      <c r="H146" s="536">
        <v>190.47550000000001</v>
      </c>
      <c r="I146" s="536">
        <v>185.46950000000001</v>
      </c>
      <c r="J146" s="536">
        <v>190.20009999999999</v>
      </c>
      <c r="K146" s="536">
        <v>199.25309999999999</v>
      </c>
      <c r="L146" s="536">
        <v>207.72110000000001</v>
      </c>
      <c r="M146" s="536">
        <v>207.69030000000001</v>
      </c>
      <c r="N146" s="6">
        <v>207.55736904493838</v>
      </c>
      <c r="O146" s="6">
        <v>203.84713050344118</v>
      </c>
      <c r="P146" s="6">
        <v>208.65898387456079</v>
      </c>
      <c r="Q146" s="6">
        <v>218.00342107973046</v>
      </c>
      <c r="R146" s="6">
        <v>227.28023547144326</v>
      </c>
      <c r="S146" s="6">
        <v>234.5797356723665</v>
      </c>
      <c r="T146" s="6">
        <v>241.04909280395731</v>
      </c>
      <c r="U146" s="6">
        <v>245.1798168723453</v>
      </c>
      <c r="V146" s="6">
        <v>253.28794128303468</v>
      </c>
      <c r="W146" s="6">
        <v>265.62557692351942</v>
      </c>
      <c r="X146" s="6">
        <v>273.78191833632809</v>
      </c>
      <c r="Y146" s="6">
        <v>282.1480402212307</v>
      </c>
      <c r="Z146" s="6">
        <v>291.18623752414084</v>
      </c>
      <c r="AA146" s="6">
        <v>305.38452051795866</v>
      </c>
      <c r="AB146" s="6">
        <v>330.52365242772686</v>
      </c>
      <c r="AC146" s="6">
        <v>349.64093803149717</v>
      </c>
      <c r="AD146" s="6">
        <v>371.0666921166079</v>
      </c>
      <c r="AE146" s="6">
        <v>383.67883868165666</v>
      </c>
      <c r="AF146" s="6">
        <v>372.17852589830159</v>
      </c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</row>
    <row r="147" spans="1:48">
      <c r="A147" s="17">
        <v>92</v>
      </c>
      <c r="B147" s="17" t="s">
        <v>19</v>
      </c>
      <c r="C147" s="536">
        <v>20.213789999999999</v>
      </c>
      <c r="D147" s="536">
        <v>18.80068</v>
      </c>
      <c r="E147" s="536">
        <v>17.88036</v>
      </c>
      <c r="F147" s="536">
        <v>17.732089999999999</v>
      </c>
      <c r="G147" s="536">
        <v>18.301300000000001</v>
      </c>
      <c r="H147" s="536">
        <v>18.840160000000001</v>
      </c>
      <c r="I147" s="536">
        <v>19.176120000000001</v>
      </c>
      <c r="J147" s="536">
        <v>19.497140000000002</v>
      </c>
      <c r="K147" s="536">
        <v>19.97822</v>
      </c>
      <c r="L147" s="536">
        <v>20.42191</v>
      </c>
      <c r="M147" s="536">
        <v>20.554849999999998</v>
      </c>
      <c r="N147" s="536">
        <v>21.3092846869176</v>
      </c>
      <c r="O147" s="536">
        <v>22.856470971138005</v>
      </c>
      <c r="P147" s="536">
        <v>24.376475772503401</v>
      </c>
      <c r="Q147" s="536">
        <v>25.902609900049999</v>
      </c>
      <c r="R147" s="536">
        <v>27.784274044932001</v>
      </c>
      <c r="S147" s="536">
        <v>28.085674513488801</v>
      </c>
      <c r="T147" s="536">
        <v>29.104241756916</v>
      </c>
      <c r="U147" s="536">
        <v>30.177061037894401</v>
      </c>
      <c r="V147" s="536">
        <v>31.070168052612004</v>
      </c>
      <c r="W147" s="536">
        <v>31.761560357279997</v>
      </c>
      <c r="X147" s="536">
        <v>32.525762702485999</v>
      </c>
      <c r="Y147" s="536">
        <v>33.104706086600203</v>
      </c>
      <c r="Z147" s="536">
        <v>33.789937291392</v>
      </c>
      <c r="AA147" s="536">
        <v>34.412176856251499</v>
      </c>
      <c r="AB147" s="536">
        <v>35.675179767577596</v>
      </c>
      <c r="AC147" s="536">
        <v>37.252617401327996</v>
      </c>
      <c r="AD147" s="536">
        <v>38.893280152542602</v>
      </c>
      <c r="AE147" s="536">
        <v>39.993516782419199</v>
      </c>
      <c r="AF147" s="536">
        <v>38.243948526838707</v>
      </c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</row>
    <row r="148" spans="1:48">
      <c r="A148" s="17">
        <v>670</v>
      </c>
      <c r="B148" s="17" t="s">
        <v>141</v>
      </c>
      <c r="C148" s="536"/>
      <c r="D148" s="536"/>
      <c r="E148" s="536"/>
      <c r="F148" s="536"/>
      <c r="G148" s="536"/>
      <c r="H148" s="536"/>
      <c r="I148" s="536">
        <v>221.1755</v>
      </c>
      <c r="J148" s="536">
        <v>218.51179999999999</v>
      </c>
      <c r="K148" s="536">
        <v>241.3526</v>
      </c>
      <c r="L148" s="536">
        <v>245.55840000000001</v>
      </c>
      <c r="M148" s="536">
        <v>277.82159999999999</v>
      </c>
      <c r="N148" s="536">
        <v>303.76945973183393</v>
      </c>
      <c r="O148" s="536">
        <v>326.21244540412397</v>
      </c>
      <c r="P148" s="536">
        <v>318.17963369358455</v>
      </c>
      <c r="Q148" s="536">
        <v>313.24484199655382</v>
      </c>
      <c r="R148" s="536">
        <v>322.44445766996506</v>
      </c>
      <c r="S148" s="536">
        <v>338.22569886121482</v>
      </c>
      <c r="T148" s="536">
        <v>345.15536330700434</v>
      </c>
      <c r="U148" s="536">
        <v>359.0710892761951</v>
      </c>
      <c r="V148" s="536">
        <v>351.92049647003256</v>
      </c>
      <c r="W148" s="536">
        <v>367.53375202099204</v>
      </c>
      <c r="X148" s="536">
        <v>366.16118375641196</v>
      </c>
      <c r="Y148" s="536">
        <v>362.086588076738</v>
      </c>
      <c r="Z148" s="536">
        <v>405.98099639243998</v>
      </c>
      <c r="AA148" s="536">
        <v>432.59536939279997</v>
      </c>
      <c r="AB148" s="536">
        <v>464.78401053434396</v>
      </c>
      <c r="AC148" s="536">
        <v>482.25433627546698</v>
      </c>
      <c r="AD148" s="536">
        <v>500.98415044216904</v>
      </c>
      <c r="AE148" s="536">
        <v>547.39444504364394</v>
      </c>
      <c r="AF148" s="536">
        <v>545.64847008008098</v>
      </c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</row>
    <row r="149" spans="1:48">
      <c r="A149" s="17">
        <v>433</v>
      </c>
      <c r="B149" s="17" t="s">
        <v>87</v>
      </c>
      <c r="C149" s="536">
        <v>6.584009</v>
      </c>
      <c r="D149" s="536">
        <v>6.4625079999999997</v>
      </c>
      <c r="E149" s="536">
        <v>7.6091730000000002</v>
      </c>
      <c r="F149" s="536">
        <v>7.7769190000000004</v>
      </c>
      <c r="G149" s="536">
        <v>7.3962729999999999</v>
      </c>
      <c r="H149" s="536">
        <v>7.6825369999999999</v>
      </c>
      <c r="I149" s="536">
        <v>8.0475080000000005</v>
      </c>
      <c r="J149" s="536">
        <v>8.3401720000000008</v>
      </c>
      <c r="K149" s="536">
        <v>8.8097919999999998</v>
      </c>
      <c r="L149" s="536">
        <v>8.6662090000000003</v>
      </c>
      <c r="M149" s="536">
        <v>9.0191470000000002</v>
      </c>
      <c r="N149" s="536">
        <v>9.032687529225953</v>
      </c>
      <c r="O149" s="536">
        <v>9.1893153661452285</v>
      </c>
      <c r="P149" s="536">
        <v>8.9997186647119332</v>
      </c>
      <c r="Q149" s="536">
        <v>9.4269489964512001</v>
      </c>
      <c r="R149" s="536">
        <v>9.7902342657168013</v>
      </c>
      <c r="S149" s="536">
        <v>10.288605737295001</v>
      </c>
      <c r="T149" s="536">
        <v>10.704668698440999</v>
      </c>
      <c r="U149" s="536">
        <v>11.303156825471</v>
      </c>
      <c r="V149" s="536">
        <v>12.081078694082999</v>
      </c>
      <c r="W149" s="536">
        <v>12.534807031281799</v>
      </c>
      <c r="X149" s="536">
        <v>13.135420155303599</v>
      </c>
      <c r="Y149" s="536">
        <v>13.082907204831599</v>
      </c>
      <c r="Z149" s="536">
        <v>14.054736585728001</v>
      </c>
      <c r="AA149" s="536">
        <v>14.8927564577904</v>
      </c>
      <c r="AB149" s="536">
        <v>15.824849076455999</v>
      </c>
      <c r="AC149" s="536">
        <v>16.155635656682399</v>
      </c>
      <c r="AD149" s="536">
        <v>17.0303280996546</v>
      </c>
      <c r="AE149" s="536">
        <v>17.580007667548998</v>
      </c>
      <c r="AF149" s="536">
        <v>17.914977864868803</v>
      </c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</row>
    <row r="150" spans="1:48">
      <c r="A150" s="17">
        <v>591</v>
      </c>
      <c r="B150" s="17" t="s">
        <v>127</v>
      </c>
      <c r="C150" s="536">
        <v>0.63113569999999997</v>
      </c>
      <c r="D150" s="536">
        <v>0.6051282</v>
      </c>
      <c r="E150" s="536">
        <v>0.61067680000000002</v>
      </c>
      <c r="F150" s="536">
        <v>0.58146790000000004</v>
      </c>
      <c r="G150" s="536">
        <v>0.61265420000000004</v>
      </c>
      <c r="H150" s="536">
        <v>0.67713199999999996</v>
      </c>
      <c r="I150" s="536">
        <v>0.73303169999999995</v>
      </c>
      <c r="J150" s="536">
        <v>0.69651649999999998</v>
      </c>
      <c r="K150" s="536">
        <v>0.7446294</v>
      </c>
      <c r="L150" s="536">
        <v>0.85583399999999998</v>
      </c>
      <c r="M150" s="536">
        <v>0.92601029999999995</v>
      </c>
      <c r="N150" s="536">
        <v>0.95104081138429786</v>
      </c>
      <c r="O150" s="536">
        <v>1.0497087336664501</v>
      </c>
      <c r="P150" s="536">
        <v>1.1289751667347159</v>
      </c>
      <c r="Q150" s="536">
        <v>1.108563126040224</v>
      </c>
      <c r="R150" s="536">
        <v>1.086000322341339</v>
      </c>
      <c r="S150" s="536">
        <v>1.1664584476319702</v>
      </c>
      <c r="T150" s="536">
        <v>1.23384086589631</v>
      </c>
      <c r="U150" s="536">
        <v>1.4117665838722062</v>
      </c>
      <c r="V150" s="536">
        <v>1.4063764414802991</v>
      </c>
      <c r="W150" s="536">
        <v>1.3825900675334399</v>
      </c>
      <c r="X150" s="536">
        <v>1.5629382014982303</v>
      </c>
      <c r="Y150" s="536">
        <v>1.4740619167560001</v>
      </c>
      <c r="Z150" s="536">
        <v>1.3753518029230432</v>
      </c>
      <c r="AA150" s="536">
        <v>1.3668437674878298</v>
      </c>
      <c r="AB150" s="536">
        <v>1.8948311872642016</v>
      </c>
      <c r="AC150" s="536">
        <v>2.0479471744599</v>
      </c>
      <c r="AD150" s="536">
        <v>2.2848037258049301</v>
      </c>
      <c r="AE150" s="536">
        <v>2.2539094617960003</v>
      </c>
      <c r="AF150" s="536">
        <v>2.076174169083</v>
      </c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</row>
    <row r="151" spans="1:48" ht="12.75" customHeight="1">
      <c r="A151" s="17">
        <v>451</v>
      </c>
      <c r="B151" s="17" t="s">
        <v>95</v>
      </c>
      <c r="C151" s="536">
        <v>3.4163960000000002</v>
      </c>
      <c r="D151" s="536">
        <v>3.6018669999999999</v>
      </c>
      <c r="E151" s="536">
        <v>3.5557840000000001</v>
      </c>
      <c r="F151" s="536">
        <v>3.556797</v>
      </c>
      <c r="G151" s="536">
        <v>3.8371119999999999</v>
      </c>
      <c r="H151" s="536">
        <v>3.735716</v>
      </c>
      <c r="I151" s="536">
        <v>3.9306160000000001</v>
      </c>
      <c r="J151" s="536">
        <v>4.0528940000000002</v>
      </c>
      <c r="K151" s="536">
        <v>4.1562380000000001</v>
      </c>
      <c r="L151" s="536">
        <v>4.3146570000000004</v>
      </c>
      <c r="M151" s="536">
        <v>4.4086920000000003</v>
      </c>
      <c r="N151" s="536">
        <v>4.0678110734736013</v>
      </c>
      <c r="O151" s="536">
        <v>3.7436630653781795</v>
      </c>
      <c r="P151" s="536">
        <v>3.612655715296047</v>
      </c>
      <c r="Q151" s="536">
        <v>3.7714542904924553</v>
      </c>
      <c r="R151" s="536">
        <v>3.3896424939498999</v>
      </c>
      <c r="S151" s="536">
        <v>2.5807154679595699</v>
      </c>
      <c r="T151" s="536">
        <v>2.0920823456122499</v>
      </c>
      <c r="U151" s="536">
        <v>2.0829785734534201</v>
      </c>
      <c r="V151" s="536">
        <v>1.90135092421576</v>
      </c>
      <c r="W151" s="536">
        <v>2.0095362700791299</v>
      </c>
      <c r="X151" s="536">
        <v>2.37303016866825</v>
      </c>
      <c r="Y151" s="536">
        <v>2.8052559251230802</v>
      </c>
      <c r="Z151" s="536">
        <v>3.1012295506977399</v>
      </c>
      <c r="AA151" s="536">
        <v>3.35458220214</v>
      </c>
      <c r="AB151" s="536">
        <v>3.50385799055424</v>
      </c>
      <c r="AC151" s="536">
        <v>3.8400011506342202</v>
      </c>
      <c r="AD151" s="536">
        <v>4.0820462076034199</v>
      </c>
      <c r="AE151" s="536">
        <v>4.2871709808090701</v>
      </c>
      <c r="AF151" s="536">
        <v>4.4722499132298399</v>
      </c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</row>
    <row r="152" spans="1:48">
      <c r="A152" s="17">
        <v>830</v>
      </c>
      <c r="B152" s="17" t="s">
        <v>173</v>
      </c>
      <c r="C152" s="536">
        <v>34.529130000000002</v>
      </c>
      <c r="D152" s="536">
        <v>37.614170000000001</v>
      </c>
      <c r="E152" s="536">
        <v>41.962679999999999</v>
      </c>
      <c r="F152" s="536">
        <v>46.647570000000002</v>
      </c>
      <c r="G152" s="536">
        <v>49.658200000000001</v>
      </c>
      <c r="H152" s="536">
        <v>47.681240000000003</v>
      </c>
      <c r="I152" s="536">
        <v>47.499459999999999</v>
      </c>
      <c r="J152" s="536">
        <v>51.041240000000002</v>
      </c>
      <c r="K152" s="536">
        <v>56.583959999999998</v>
      </c>
      <c r="L152" s="536">
        <v>63.006160000000001</v>
      </c>
      <c r="M152" s="536">
        <v>69.884649999999993</v>
      </c>
      <c r="N152" s="536">
        <v>75.69195865048205</v>
      </c>
      <c r="O152" s="536">
        <v>80.251037007573615</v>
      </c>
      <c r="P152" s="536">
        <v>90.475416357171511</v>
      </c>
      <c r="Q152" s="536">
        <v>100.53609433219354</v>
      </c>
      <c r="R152" s="536">
        <v>110.82772411296045</v>
      </c>
      <c r="S152" s="536">
        <v>121.46567003439547</v>
      </c>
      <c r="T152" s="536">
        <v>133.93478677991232</v>
      </c>
      <c r="U152" s="536">
        <v>128.30387106809943</v>
      </c>
      <c r="V152" s="536">
        <v>137.67690418430368</v>
      </c>
      <c r="W152" s="536">
        <v>154.03870851835364</v>
      </c>
      <c r="X152" s="536">
        <v>146.28115529168934</v>
      </c>
      <c r="Y152" s="536">
        <v>151.84281682019437</v>
      </c>
      <c r="Z152" s="536">
        <v>152.89831471717122</v>
      </c>
      <c r="AA152" s="536">
        <v>171.27984607831178</v>
      </c>
      <c r="AB152" s="536">
        <v>185.28232685666498</v>
      </c>
      <c r="AC152" s="536">
        <v>201.42533288325239</v>
      </c>
      <c r="AD152" s="536">
        <v>219.52368308625208</v>
      </c>
      <c r="AE152" s="536">
        <v>230.01775427174402</v>
      </c>
      <c r="AF152" s="536">
        <v>220.38356083685198</v>
      </c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</row>
    <row r="153" spans="1:48">
      <c r="A153" s="17">
        <v>60</v>
      </c>
      <c r="B153" s="17" t="s">
        <v>14</v>
      </c>
      <c r="C153" s="536">
        <v>0.16927410000000001</v>
      </c>
      <c r="D153" s="536">
        <v>0.17509130000000001</v>
      </c>
      <c r="E153" s="536">
        <v>0.17434459999999999</v>
      </c>
      <c r="F153" s="536">
        <v>0.17348150000000001</v>
      </c>
      <c r="G153" s="536">
        <v>0.1903272</v>
      </c>
      <c r="H153" s="536">
        <v>0.20183680000000001</v>
      </c>
      <c r="I153" s="536">
        <v>0.22508300000000001</v>
      </c>
      <c r="J153" s="536">
        <v>0.24032229999999999</v>
      </c>
      <c r="K153" s="536">
        <v>0.2483573</v>
      </c>
      <c r="L153" s="536">
        <v>0.26776109999999997</v>
      </c>
      <c r="M153" s="536">
        <v>0.27861960000000002</v>
      </c>
      <c r="N153" s="536">
        <v>0.284896798923022</v>
      </c>
      <c r="O153" s="536">
        <v>0.2931958230175819</v>
      </c>
      <c r="P153" s="536">
        <v>0.30954640696243041</v>
      </c>
      <c r="Q153" s="536">
        <v>0.33282525287823461</v>
      </c>
      <c r="R153" s="536">
        <v>0.34122769977294448</v>
      </c>
      <c r="S153" s="536">
        <v>0.36755622518884973</v>
      </c>
      <c r="T153" s="536">
        <v>0.38866805904117757</v>
      </c>
      <c r="U153" s="536">
        <v>0.39355702698800699</v>
      </c>
      <c r="V153" s="536">
        <v>0.41721185039569197</v>
      </c>
      <c r="W153" s="536">
        <v>0.39213646115879702</v>
      </c>
      <c r="X153" s="536">
        <v>0.40740591791592001</v>
      </c>
      <c r="Y153" s="536">
        <v>0.422053267860661</v>
      </c>
      <c r="Z153" s="536">
        <v>0.43689882589852896</v>
      </c>
      <c r="AA153" s="536">
        <v>0.47423243334008802</v>
      </c>
      <c r="AB153" s="536">
        <v>0.497234082135384</v>
      </c>
      <c r="AC153" s="536">
        <v>0.51951991804521602</v>
      </c>
      <c r="AD153" s="536">
        <v>0.530916680060325</v>
      </c>
      <c r="AE153" s="536">
        <v>0.55183319219760008</v>
      </c>
      <c r="AF153" s="536">
        <v>0.50765795316919993</v>
      </c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</row>
    <row r="154" spans="1:48">
      <c r="A154" s="17">
        <v>317</v>
      </c>
      <c r="B154" s="17" t="s">
        <v>52</v>
      </c>
      <c r="C154" s="536"/>
      <c r="D154" s="536"/>
      <c r="E154" s="536"/>
      <c r="F154" s="536"/>
      <c r="G154" s="536"/>
      <c r="H154" s="536"/>
      <c r="I154" s="536"/>
      <c r="J154" s="536">
        <v>61.029809999999998</v>
      </c>
      <c r="K154" s="536">
        <v>62.298729999999999</v>
      </c>
      <c r="L154" s="536">
        <v>63.610840000000003</v>
      </c>
      <c r="M154" s="536">
        <v>62.946179999999998</v>
      </c>
      <c r="N154" s="536">
        <v>51.056884096743353</v>
      </c>
      <c r="O154" s="536">
        <v>46.429370140385444</v>
      </c>
      <c r="P154" s="536">
        <v>50.471666666416233</v>
      </c>
      <c r="Q154" s="536">
        <v>52.906027915333887</v>
      </c>
      <c r="R154" s="536">
        <v>56.705740080711244</v>
      </c>
      <c r="S154" s="536">
        <v>64.443329295786071</v>
      </c>
      <c r="T154" s="536">
        <v>68.182765603707765</v>
      </c>
      <c r="U154" s="536">
        <v>71.315843286278323</v>
      </c>
      <c r="V154" s="536">
        <v>69.781236368971207</v>
      </c>
      <c r="W154" s="536">
        <v>70.446912090256632</v>
      </c>
      <c r="X154" s="536">
        <v>72.766903971429173</v>
      </c>
      <c r="Y154" s="536">
        <v>76.324452777549354</v>
      </c>
      <c r="Z154" s="536">
        <v>79.470858627457233</v>
      </c>
      <c r="AA154" s="536">
        <v>82.728993377532817</v>
      </c>
      <c r="AB154" s="536">
        <v>87.989503128283332</v>
      </c>
      <c r="AC154" s="536">
        <v>95.468714423596992</v>
      </c>
      <c r="AD154" s="536">
        <v>106.19959488921951</v>
      </c>
      <c r="AE154" s="536">
        <v>111.77486466486502</v>
      </c>
      <c r="AF154" s="536">
        <v>107.71498178455111</v>
      </c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</row>
    <row r="155" spans="1:48">
      <c r="A155" s="17">
        <v>56</v>
      </c>
      <c r="B155" s="17" t="s">
        <v>11</v>
      </c>
      <c r="C155" s="536">
        <v>0.81240939999999995</v>
      </c>
      <c r="D155" s="536">
        <v>0.8306346</v>
      </c>
      <c r="E155" s="536">
        <v>0.8328738</v>
      </c>
      <c r="F155" s="536">
        <v>0.8340921</v>
      </c>
      <c r="G155" s="536">
        <v>0.78613690000000003</v>
      </c>
      <c r="H155" s="536">
        <v>0.84814579999999995</v>
      </c>
      <c r="I155" s="536">
        <v>0.97330090000000002</v>
      </c>
      <c r="J155" s="536">
        <v>1.0150749999999999</v>
      </c>
      <c r="K155" s="536">
        <v>1.133786</v>
      </c>
      <c r="L155" s="536">
        <v>1.2434940000000001</v>
      </c>
      <c r="M155" s="536">
        <v>1.263366</v>
      </c>
      <c r="N155" s="6">
        <v>1.276135265467804</v>
      </c>
      <c r="O155" s="6">
        <v>1.3504996150127551</v>
      </c>
      <c r="P155" s="6">
        <v>1.3445724780684272</v>
      </c>
      <c r="Q155" s="6">
        <v>1.3757838458453528</v>
      </c>
      <c r="R155" s="6">
        <v>1.3801612504853376</v>
      </c>
      <c r="S155" s="6">
        <v>1.498525642754416</v>
      </c>
      <c r="T155" s="6">
        <v>1.5195144499058251</v>
      </c>
      <c r="U155" s="6">
        <v>1.6045629128597139</v>
      </c>
      <c r="V155" s="6">
        <v>1.6524259879939722</v>
      </c>
      <c r="W155" s="6">
        <v>1.6285435418022018</v>
      </c>
      <c r="X155" s="6">
        <v>1.53150381921104</v>
      </c>
      <c r="Y155" s="6">
        <v>1.5857273225115331</v>
      </c>
      <c r="Z155" s="6">
        <v>1.7071051248833602</v>
      </c>
      <c r="AA155" s="6">
        <v>1.7552265922352401</v>
      </c>
      <c r="AB155" s="6">
        <v>1.8511117848016592</v>
      </c>
      <c r="AC155" s="6">
        <v>1.9155583486351198</v>
      </c>
      <c r="AD155" s="6">
        <v>2.0151738989717498</v>
      </c>
      <c r="AE155" s="6">
        <v>2.0906745614399997</v>
      </c>
      <c r="AF155" s="6">
        <v>2.0926778876799998</v>
      </c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</row>
    <row r="156" spans="1:48">
      <c r="A156" s="17">
        <v>349</v>
      </c>
      <c r="B156" s="17" t="s">
        <v>61</v>
      </c>
      <c r="C156" s="536"/>
      <c r="D156" s="536"/>
      <c r="E156" s="536"/>
      <c r="F156" s="536"/>
      <c r="G156" s="536"/>
      <c r="H156" s="536"/>
      <c r="I156" s="536"/>
      <c r="J156" s="536"/>
      <c r="K156" s="536"/>
      <c r="L156" s="536"/>
      <c r="M156" s="536">
        <v>30.84863</v>
      </c>
      <c r="N156" s="536">
        <v>27.817822691126441</v>
      </c>
      <c r="O156" s="536">
        <v>26.164399598245097</v>
      </c>
      <c r="P156" s="536">
        <v>27.597802815513035</v>
      </c>
      <c r="Q156" s="536">
        <v>29.192140363811955</v>
      </c>
      <c r="R156" s="536">
        <v>30.910268443449073</v>
      </c>
      <c r="S156" s="536">
        <v>32.039527834403458</v>
      </c>
      <c r="T156" s="536">
        <v>33.66424999653772</v>
      </c>
      <c r="U156" s="536">
        <v>34.93259428157949</v>
      </c>
      <c r="V156" s="536">
        <v>36.921001870242556</v>
      </c>
      <c r="W156" s="536">
        <v>38.414925014421001</v>
      </c>
      <c r="X156" s="536">
        <v>39.513649321499997</v>
      </c>
      <c r="Y156" s="536">
        <v>40.958591712229008</v>
      </c>
      <c r="Z156" s="536">
        <v>42.230675421636001</v>
      </c>
      <c r="AA156" s="536">
        <v>44.184230678695997</v>
      </c>
      <c r="AB156" s="536">
        <v>46.803688891684999</v>
      </c>
      <c r="AC156" s="536">
        <v>49.68604463994</v>
      </c>
      <c r="AD156" s="536">
        <v>53.425526573257997</v>
      </c>
      <c r="AE156" s="536">
        <v>55.420500406400002</v>
      </c>
      <c r="AF156" s="536">
        <v>50.061159648116003</v>
      </c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</row>
    <row r="157" spans="1:48">
      <c r="A157" s="17">
        <v>940</v>
      </c>
      <c r="B157" s="17" t="s">
        <v>181</v>
      </c>
      <c r="C157" s="536">
        <v>0.40273710000000001</v>
      </c>
      <c r="D157" s="536">
        <v>0.43844129999999998</v>
      </c>
      <c r="E157" s="536">
        <v>0.43425229999999998</v>
      </c>
      <c r="F157" s="536">
        <v>0.40638999999999997</v>
      </c>
      <c r="G157" s="536">
        <v>0.4269925</v>
      </c>
      <c r="H157" s="536">
        <v>0.49628650000000002</v>
      </c>
      <c r="I157" s="536">
        <v>0.4573971</v>
      </c>
      <c r="J157" s="536">
        <v>0.47775719999999999</v>
      </c>
      <c r="K157" s="536">
        <v>0.49287439999999999</v>
      </c>
      <c r="L157" s="536">
        <v>0.52852089999999996</v>
      </c>
      <c r="M157" s="536">
        <v>0.53668570000000004</v>
      </c>
      <c r="N157" s="536">
        <v>0.56375599010593502</v>
      </c>
      <c r="O157" s="536">
        <v>0.63785007066190846</v>
      </c>
      <c r="P157" s="536">
        <v>0.67313300674808285</v>
      </c>
      <c r="Q157" s="536">
        <v>0.66260083043112572</v>
      </c>
      <c r="R157" s="536">
        <v>0.71052185344932195</v>
      </c>
      <c r="S157" s="536">
        <v>0.72475947900609572</v>
      </c>
      <c r="T157" s="536">
        <v>0.71640503667869282</v>
      </c>
      <c r="U157" s="536">
        <v>0.72586214400594273</v>
      </c>
      <c r="V157" s="536">
        <v>0.72479300990818241</v>
      </c>
      <c r="W157" s="536">
        <v>0.62055216347750819</v>
      </c>
      <c r="X157" s="536">
        <v>0.57012919053415834</v>
      </c>
      <c r="Y157" s="536">
        <v>0.56148622321636465</v>
      </c>
      <c r="Z157" s="536">
        <v>0.59268041394327298</v>
      </c>
      <c r="AA157" s="536">
        <v>0.6413183020733102</v>
      </c>
      <c r="AB157" s="536">
        <v>0.76799516093574294</v>
      </c>
      <c r="AC157" s="536">
        <v>0.85325848116650249</v>
      </c>
      <c r="AD157" s="536">
        <v>0.90598767123895274</v>
      </c>
      <c r="AE157" s="536">
        <v>0.99100219449595572</v>
      </c>
      <c r="AF157" s="536">
        <v>0.97403108840229591</v>
      </c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</row>
    <row r="158" spans="1:48">
      <c r="A158" s="17">
        <v>520</v>
      </c>
      <c r="B158" s="17" t="s">
        <v>110</v>
      </c>
      <c r="C158" s="536">
        <v>4.3938709999999999</v>
      </c>
      <c r="D158" s="536">
        <v>4.396083</v>
      </c>
      <c r="E158" s="536">
        <v>4.8031230000000003</v>
      </c>
      <c r="F158" s="536">
        <v>4.5724119999999999</v>
      </c>
      <c r="G158" s="536">
        <v>4.2673379999999996</v>
      </c>
      <c r="H158" s="536">
        <v>4.1137899999999998</v>
      </c>
      <c r="I158" s="536">
        <v>4.4931950000000001</v>
      </c>
      <c r="J158" s="536">
        <v>4.7250350000000001</v>
      </c>
      <c r="K158" s="536">
        <v>4.7681240000000003</v>
      </c>
      <c r="L158" s="536">
        <v>4.7134559999999999</v>
      </c>
      <c r="M158" s="536">
        <v>4.6215710000000003</v>
      </c>
      <c r="N158" s="536">
        <v>4.4634105450558161</v>
      </c>
      <c r="O158" s="536">
        <v>3.9395631737580907</v>
      </c>
      <c r="P158" s="536">
        <v>3.9485339871126217</v>
      </c>
      <c r="Q158" s="536">
        <v>3.1368040859715194</v>
      </c>
      <c r="R158" s="536">
        <v>3.1362729589153995</v>
      </c>
      <c r="S158" s="536">
        <v>3.2483339578199586</v>
      </c>
      <c r="T158" s="536">
        <v>3.1593864380971408</v>
      </c>
      <c r="U158" s="536">
        <v>3.2366828883976728</v>
      </c>
      <c r="V158" s="536">
        <v>3.3515167961538603</v>
      </c>
      <c r="W158" s="536">
        <v>3.46834200227411</v>
      </c>
      <c r="X158" s="536">
        <v>3.5895201139424002</v>
      </c>
      <c r="Y158" s="536">
        <v>3.7154766746913701</v>
      </c>
      <c r="Z158" s="536">
        <v>3.7933757297286399</v>
      </c>
      <c r="AA158" s="536">
        <v>3.8995982702008805</v>
      </c>
      <c r="AB158" s="536">
        <v>3.9932646406698002</v>
      </c>
      <c r="AC158" s="536">
        <v>4.1150817805897804</v>
      </c>
      <c r="AD158" s="536">
        <v>4.2059647992501796</v>
      </c>
      <c r="AE158" s="536">
        <v>4.3129137308606005</v>
      </c>
      <c r="AF158" s="536">
        <v>4.4305791044892295</v>
      </c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>
      <c r="A159" s="17">
        <v>230</v>
      </c>
      <c r="B159" s="17" t="s">
        <v>44</v>
      </c>
      <c r="C159" s="536">
        <v>581.99260000000004</v>
      </c>
      <c r="D159" s="536">
        <v>579.35059999999999</v>
      </c>
      <c r="E159" s="536">
        <v>586.40200000000004</v>
      </c>
      <c r="F159" s="536">
        <v>595.43520000000001</v>
      </c>
      <c r="G159" s="536">
        <v>604.4153</v>
      </c>
      <c r="H159" s="536">
        <v>619.23059999999998</v>
      </c>
      <c r="I159" s="536">
        <v>641.60929999999996</v>
      </c>
      <c r="J159" s="536">
        <v>679.92909999999995</v>
      </c>
      <c r="K159" s="536">
        <v>717.07349999999997</v>
      </c>
      <c r="L159" s="536">
        <v>754.83140000000003</v>
      </c>
      <c r="M159" s="536">
        <v>784.5761</v>
      </c>
      <c r="N159" s="6">
        <v>805.34673768815014</v>
      </c>
      <c r="O159" s="6">
        <v>812.90432227218264</v>
      </c>
      <c r="P159" s="6">
        <v>800.85674452760873</v>
      </c>
      <c r="Q159" s="6">
        <v>819.88592949521433</v>
      </c>
      <c r="R159" s="6">
        <v>843.8628381590396</v>
      </c>
      <c r="S159" s="6">
        <v>864.50374473119962</v>
      </c>
      <c r="T159" s="6">
        <v>898.43113675234963</v>
      </c>
      <c r="U159" s="6">
        <v>941.98492521147091</v>
      </c>
      <c r="V159" s="6">
        <v>989.50795521410225</v>
      </c>
      <c r="W159" s="6">
        <v>1040.19450373941</v>
      </c>
      <c r="X159" s="6">
        <v>1078.419590527421</v>
      </c>
      <c r="Y159" s="6">
        <v>1108.0896505428</v>
      </c>
      <c r="Z159" s="6">
        <v>1142.9034517437419</v>
      </c>
      <c r="AA159" s="6">
        <v>1180.4951391469999</v>
      </c>
      <c r="AB159" s="6">
        <v>1223.0053846375679</v>
      </c>
      <c r="AC159" s="6">
        <v>1271.5762133851999</v>
      </c>
      <c r="AD159" s="6">
        <v>1317.1826820083361</v>
      </c>
      <c r="AE159" s="6">
        <v>1329.6493022414199</v>
      </c>
      <c r="AF159" s="6">
        <v>1279.9176165347349</v>
      </c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>
      <c r="A160" s="17">
        <v>780</v>
      </c>
      <c r="B160" s="17" t="s">
        <v>165</v>
      </c>
      <c r="C160" s="536">
        <v>21.746420000000001</v>
      </c>
      <c r="D160" s="536">
        <v>22.99194</v>
      </c>
      <c r="E160" s="536">
        <v>24.197690000000001</v>
      </c>
      <c r="F160" s="536">
        <v>25.393280000000001</v>
      </c>
      <c r="G160" s="536">
        <v>26.596720000000001</v>
      </c>
      <c r="H160" s="536">
        <v>27.971800000000002</v>
      </c>
      <c r="I160" s="536">
        <v>29.21116</v>
      </c>
      <c r="J160" s="536">
        <v>29.664079999999998</v>
      </c>
      <c r="K160" s="536">
        <v>30.52684</v>
      </c>
      <c r="L160" s="536">
        <v>31.058979999999998</v>
      </c>
      <c r="M160" s="536">
        <v>32.934800000000003</v>
      </c>
      <c r="N160" s="536">
        <v>34.504042112681887</v>
      </c>
      <c r="O160" s="536">
        <v>35.943268248893034</v>
      </c>
      <c r="P160" s="536">
        <v>38.327646574354098</v>
      </c>
      <c r="Q160" s="536">
        <v>40.451848823411069</v>
      </c>
      <c r="R160" s="536">
        <v>42.657383205068548</v>
      </c>
      <c r="S160" s="536">
        <v>44.257898073036181</v>
      </c>
      <c r="T160" s="536">
        <v>47.009713929039947</v>
      </c>
      <c r="U160" s="536">
        <v>49.349032964407456</v>
      </c>
      <c r="V160" s="536">
        <v>51.403244341569305</v>
      </c>
      <c r="W160" s="536">
        <v>54.230222846646001</v>
      </c>
      <c r="X160" s="536">
        <v>53.696021010441001</v>
      </c>
      <c r="Y160" s="536">
        <v>55.912546624671293</v>
      </c>
      <c r="Z160" s="536">
        <v>59.268494496067099</v>
      </c>
      <c r="AA160" s="536">
        <v>62.611487387006399</v>
      </c>
      <c r="AB160" s="536">
        <v>66.797969096959193</v>
      </c>
      <c r="AC160" s="536">
        <v>71.874873014932504</v>
      </c>
      <c r="AD160" s="536">
        <v>76.674824616750001</v>
      </c>
      <c r="AE160" s="536">
        <v>81.521584000637802</v>
      </c>
      <c r="AF160" s="536">
        <v>84.229101984018399</v>
      </c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</row>
    <row r="161" spans="1:48">
      <c r="A161" s="17">
        <v>403</v>
      </c>
      <c r="B161" s="17" t="s">
        <v>82</v>
      </c>
      <c r="C161" s="536">
        <v>0.1451662</v>
      </c>
      <c r="D161" s="536">
        <v>0.1302074</v>
      </c>
      <c r="E161" s="536">
        <v>0.13420360000000001</v>
      </c>
      <c r="F161" s="536">
        <v>0.1291226</v>
      </c>
      <c r="G161" s="536">
        <v>0.12090670000000001</v>
      </c>
      <c r="H161" s="536">
        <v>0.13303309999999999</v>
      </c>
      <c r="I161" s="536">
        <v>0.12530930000000001</v>
      </c>
      <c r="J161" s="536">
        <v>0.1214432</v>
      </c>
      <c r="K161" s="536">
        <v>0.12325170000000001</v>
      </c>
      <c r="L161" s="536">
        <v>0.12752459999999999</v>
      </c>
      <c r="M161" s="536">
        <v>0.12384290000000001</v>
      </c>
      <c r="N161" s="536">
        <v>0.12428010560913789</v>
      </c>
      <c r="O161" s="536">
        <v>0.12527566387009473</v>
      </c>
      <c r="P161" s="536">
        <v>0.12720008688251982</v>
      </c>
      <c r="Q161" s="536">
        <v>0.12868326802499999</v>
      </c>
      <c r="R161" s="536">
        <v>0.1279010291606</v>
      </c>
      <c r="S161" s="536">
        <v>0.13130082364099999</v>
      </c>
      <c r="T161" s="536">
        <v>0.13362684371520001</v>
      </c>
      <c r="U161" s="536">
        <v>0.13808076446250001</v>
      </c>
      <c r="V161" s="536">
        <v>0.1411838649852</v>
      </c>
      <c r="W161" s="536">
        <v>0.14299783213020001</v>
      </c>
      <c r="X161" s="536">
        <v>0.14774182549920001</v>
      </c>
      <c r="Y161" s="536">
        <v>0.16473848162100002</v>
      </c>
      <c r="Z161" s="536">
        <v>0.17562159217180001</v>
      </c>
      <c r="AA161" s="536">
        <v>0.18462066084000001</v>
      </c>
      <c r="AB161" s="536">
        <v>0.22355858347299998</v>
      </c>
      <c r="AC161" s="536">
        <v>0.23473087597540002</v>
      </c>
      <c r="AD161" s="536">
        <v>0.2511927928455</v>
      </c>
      <c r="AE161" s="536">
        <v>0.26827235048879999</v>
      </c>
      <c r="AF161" s="536">
        <v>0.28920691306919999</v>
      </c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</row>
    <row r="162" spans="1:48">
      <c r="A162" s="17">
        <v>625</v>
      </c>
      <c r="B162" s="17" t="s">
        <v>132</v>
      </c>
      <c r="C162" s="536">
        <v>27.74652</v>
      </c>
      <c r="D162" s="536">
        <v>29.714020000000001</v>
      </c>
      <c r="E162" s="536">
        <v>30.32611</v>
      </c>
      <c r="F162" s="536">
        <v>26.463470000000001</v>
      </c>
      <c r="G162" s="536">
        <v>26.326350000000001</v>
      </c>
      <c r="H162" s="536">
        <v>24.714390000000002</v>
      </c>
      <c r="I162" s="536">
        <v>25.09984</v>
      </c>
      <c r="J162" s="536">
        <v>29.28961</v>
      </c>
      <c r="K162" s="536">
        <v>29.209330000000001</v>
      </c>
      <c r="L162" s="536">
        <v>32.303159999999998</v>
      </c>
      <c r="M162" s="536">
        <v>30.67999</v>
      </c>
      <c r="N162" s="536">
        <v>32.985734418647212</v>
      </c>
      <c r="O162" s="536">
        <v>35.099560114715025</v>
      </c>
      <c r="P162" s="536">
        <v>36.653587890771149</v>
      </c>
      <c r="Q162" s="536">
        <v>36.744672563653523</v>
      </c>
      <c r="R162" s="536">
        <v>39.50743035045889</v>
      </c>
      <c r="S162" s="536">
        <v>46.471812631754915</v>
      </c>
      <c r="T162" s="536">
        <v>49.439980893343879</v>
      </c>
      <c r="U162" s="536">
        <v>49.402928313538226</v>
      </c>
      <c r="V162" s="536">
        <v>55.735648122679962</v>
      </c>
      <c r="W162" s="536">
        <v>60.714622982312903</v>
      </c>
      <c r="X162" s="536">
        <v>60.974740048393599</v>
      </c>
      <c r="Y162" s="536">
        <v>50.507242633129401</v>
      </c>
      <c r="Z162" s="536">
        <v>48.832867288631995</v>
      </c>
      <c r="AA162" s="536">
        <v>68.042816571048007</v>
      </c>
      <c r="AB162" s="536">
        <v>71.947776099861997</v>
      </c>
      <c r="AC162" s="536">
        <v>76.996259915408402</v>
      </c>
      <c r="AD162" s="536">
        <v>83.715587876502795</v>
      </c>
      <c r="AE162" s="536">
        <v>88.793272140122184</v>
      </c>
      <c r="AF162" s="536">
        <v>93.670950128919799</v>
      </c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</row>
    <row r="163" spans="1:48">
      <c r="A163" s="17">
        <v>115</v>
      </c>
      <c r="B163" s="17" t="s">
        <v>26</v>
      </c>
      <c r="C163" s="536">
        <v>3.0826850000000001</v>
      </c>
      <c r="D163" s="536">
        <v>3.3800729999999999</v>
      </c>
      <c r="E163" s="536">
        <v>3.3585880000000001</v>
      </c>
      <c r="F163" s="536">
        <v>3.2196600000000002</v>
      </c>
      <c r="G163" s="536">
        <v>3.2273420000000002</v>
      </c>
      <c r="H163" s="536">
        <v>3.7593740000000002</v>
      </c>
      <c r="I163" s="536">
        <v>3.7061459999999999</v>
      </c>
      <c r="J163" s="536">
        <v>3.4057520000000001</v>
      </c>
      <c r="K163" s="536">
        <v>3.73542</v>
      </c>
      <c r="L163" s="536">
        <v>3.6909770000000002</v>
      </c>
      <c r="M163" s="536">
        <v>3.4583719999999998</v>
      </c>
      <c r="N163" s="536">
        <v>3.6690115146526647</v>
      </c>
      <c r="O163" s="536">
        <v>3.5607885178508503</v>
      </c>
      <c r="P163" s="536">
        <v>3.0277081686702561</v>
      </c>
      <c r="Q163" s="536">
        <v>2.6216395203726299</v>
      </c>
      <c r="R163" s="536">
        <v>2.7598824882182096</v>
      </c>
      <c r="S163" s="536">
        <v>3.2412390015838746</v>
      </c>
      <c r="T163" s="536">
        <v>3.6131383165112059</v>
      </c>
      <c r="U163" s="536">
        <v>3.8883190761470221</v>
      </c>
      <c r="V163" s="536">
        <v>2.7587866702503838</v>
      </c>
      <c r="W163" s="536">
        <v>2.8203260795466369</v>
      </c>
      <c r="X163" s="536">
        <v>3.025797738571304</v>
      </c>
      <c r="Y163" s="536">
        <v>3.0667696584746476</v>
      </c>
      <c r="Z163" s="536">
        <v>3.3479401287393959</v>
      </c>
      <c r="AA163" s="536">
        <v>3.3356306318935283</v>
      </c>
      <c r="AB163" s="536">
        <v>4.2748277973100564</v>
      </c>
      <c r="AC163" s="536">
        <v>4.4004840746225895</v>
      </c>
      <c r="AD163" s="536">
        <v>4.7875210751907842</v>
      </c>
      <c r="AE163" s="536">
        <v>4.9935724598200002</v>
      </c>
      <c r="AF163" s="536">
        <v>5.1195341445300002</v>
      </c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</row>
    <row r="164" spans="1:48">
      <c r="A164" s="17">
        <v>57</v>
      </c>
      <c r="B164" s="17" t="s">
        <v>12</v>
      </c>
      <c r="C164" s="536">
        <v>0.19009380000000001</v>
      </c>
      <c r="D164" s="536">
        <v>0.20382330000000001</v>
      </c>
      <c r="E164" s="536">
        <v>0.21441109999999999</v>
      </c>
      <c r="F164" s="536">
        <v>0.2260144</v>
      </c>
      <c r="G164" s="536">
        <v>0.23787900000000001</v>
      </c>
      <c r="H164" s="536">
        <v>0.24518780000000001</v>
      </c>
      <c r="I164" s="536">
        <v>0.26308369999999998</v>
      </c>
      <c r="J164" s="536">
        <v>0.276144</v>
      </c>
      <c r="K164" s="536">
        <v>0.31292049999999999</v>
      </c>
      <c r="L164" s="536">
        <v>0.32352760000000003</v>
      </c>
      <c r="M164" s="536">
        <v>0.37180999999999997</v>
      </c>
      <c r="N164" s="536">
        <v>0.34794743183080501</v>
      </c>
      <c r="O164" s="536">
        <v>0.37251927783106559</v>
      </c>
      <c r="P164" s="536">
        <v>0.37666498309440083</v>
      </c>
      <c r="Q164" s="536">
        <v>0.3705385205116562</v>
      </c>
      <c r="R164" s="536">
        <v>0.41000651865840959</v>
      </c>
      <c r="S164" s="536">
        <v>0.41668127604797756</v>
      </c>
      <c r="T164" s="536">
        <v>0.43365183958576853</v>
      </c>
      <c r="U164" s="536">
        <v>0.43626435917390483</v>
      </c>
      <c r="V164" s="536">
        <v>0.45628376063081205</v>
      </c>
      <c r="W164" s="536">
        <v>0.46531232021793478</v>
      </c>
      <c r="X164" s="536">
        <v>0.46921891370020408</v>
      </c>
      <c r="Y164" s="536">
        <v>0.48949837744605484</v>
      </c>
      <c r="Z164" s="536">
        <v>0.50264892470067846</v>
      </c>
      <c r="AA164" s="536">
        <v>0.53263180165080781</v>
      </c>
      <c r="AB164" s="536">
        <v>0.54292301733572401</v>
      </c>
      <c r="AC164" s="536">
        <v>0.61583171502522549</v>
      </c>
      <c r="AD164" s="536">
        <v>0.71340219543675387</v>
      </c>
      <c r="AE164" s="536">
        <v>0.77126234177999997</v>
      </c>
      <c r="AF164" s="536">
        <v>0.77248096778037001</v>
      </c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>
      <c r="A165" s="17">
        <v>572</v>
      </c>
      <c r="B165" s="17" t="s">
        <v>123</v>
      </c>
      <c r="C165" s="536">
        <v>1.3625100000000001</v>
      </c>
      <c r="D165" s="536">
        <v>1.435335</v>
      </c>
      <c r="E165" s="536">
        <v>1.4386129999999999</v>
      </c>
      <c r="F165" s="536">
        <v>1.4741299999999999</v>
      </c>
      <c r="G165" s="536">
        <v>1.5961160000000001</v>
      </c>
      <c r="H165" s="536">
        <v>1.7853509999999999</v>
      </c>
      <c r="I165" s="536">
        <v>1.9117839999999999</v>
      </c>
      <c r="J165" s="536">
        <v>2.156949</v>
      </c>
      <c r="K165" s="536">
        <v>2.298327</v>
      </c>
      <c r="L165" s="536">
        <v>2.468515</v>
      </c>
      <c r="M165" s="536">
        <v>2.7262590000000002</v>
      </c>
      <c r="N165" s="536">
        <v>2.762015103349329</v>
      </c>
      <c r="O165" s="536">
        <v>2.8144804357517117</v>
      </c>
      <c r="P165" s="536">
        <v>2.8633917436750309</v>
      </c>
      <c r="Q165" s="536">
        <v>2.9648846583346882</v>
      </c>
      <c r="R165" s="536">
        <v>3.1004959513164043</v>
      </c>
      <c r="S165" s="536">
        <v>3.2191337497016734</v>
      </c>
      <c r="T165" s="536">
        <v>3.2836553811288267</v>
      </c>
      <c r="U165" s="536">
        <v>3.3973136935384503</v>
      </c>
      <c r="V165" s="536">
        <v>3.5423783137226237</v>
      </c>
      <c r="W165" s="536">
        <v>3.6329265804832001</v>
      </c>
      <c r="X165" s="536">
        <v>3.7007395933949998</v>
      </c>
      <c r="Y165" s="536">
        <v>3.8252942975502</v>
      </c>
      <c r="Z165" s="536">
        <v>3.9409817717119999</v>
      </c>
      <c r="AA165" s="536">
        <v>4.0188374892156</v>
      </c>
      <c r="AB165" s="536">
        <v>4.1752772135905998</v>
      </c>
      <c r="AC165" s="536">
        <v>4.3266467370240003</v>
      </c>
      <c r="AD165" s="536">
        <v>4.4928483791099998</v>
      </c>
      <c r="AE165" s="536">
        <v>4.5454384509415</v>
      </c>
      <c r="AF165" s="536">
        <v>4.6043459577107999</v>
      </c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</row>
    <row r="166" spans="1:48">
      <c r="A166" s="17">
        <v>380</v>
      </c>
      <c r="B166" s="17" t="s">
        <v>77</v>
      </c>
      <c r="C166" s="536">
        <v>186.08459999999999</v>
      </c>
      <c r="D166" s="536">
        <v>185.80340000000001</v>
      </c>
      <c r="E166" s="536">
        <v>187.65440000000001</v>
      </c>
      <c r="F166" s="536">
        <v>189.54409999999999</v>
      </c>
      <c r="G166" s="536">
        <v>196.637</v>
      </c>
      <c r="H166" s="536">
        <v>201.3494</v>
      </c>
      <c r="I166" s="536">
        <v>207.21539999999999</v>
      </c>
      <c r="J166" s="536">
        <v>214.43</v>
      </c>
      <c r="K166" s="536">
        <v>219.8614</v>
      </c>
      <c r="L166" s="536">
        <v>225.94710000000001</v>
      </c>
      <c r="M166" s="536">
        <v>228.10509999999999</v>
      </c>
      <c r="N166" s="536">
        <v>226.66664441293355</v>
      </c>
      <c r="O166" s="536">
        <v>224.27465951416323</v>
      </c>
      <c r="P166" s="536">
        <v>219.99015468703544</v>
      </c>
      <c r="Q166" s="536">
        <v>227.44704998644784</v>
      </c>
      <c r="R166" s="536">
        <v>235.33967699292012</v>
      </c>
      <c r="S166" s="536">
        <v>238.39154813314224</v>
      </c>
      <c r="T166" s="536">
        <v>242.90019711770188</v>
      </c>
      <c r="U166" s="536">
        <v>251.70558377941282</v>
      </c>
      <c r="V166" s="536">
        <v>262.85361472820097</v>
      </c>
      <c r="W166" s="536">
        <v>273.47975604781595</v>
      </c>
      <c r="X166" s="536">
        <v>276.36491902175999</v>
      </c>
      <c r="Y166" s="536">
        <v>283.01874458618198</v>
      </c>
      <c r="Z166" s="536">
        <v>288.26473883649004</v>
      </c>
      <c r="AA166" s="536">
        <v>299.96824083155002</v>
      </c>
      <c r="AB166" s="536">
        <v>313.76760295473599</v>
      </c>
      <c r="AC166" s="536">
        <v>326.64070707567402</v>
      </c>
      <c r="AD166" s="536">
        <v>337.38620925060701</v>
      </c>
      <c r="AE166" s="536">
        <v>336.758701695345</v>
      </c>
      <c r="AF166" s="536">
        <v>319.32935038583997</v>
      </c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</row>
    <row r="167" spans="1:48">
      <c r="A167" s="17">
        <v>225</v>
      </c>
      <c r="B167" s="17" t="s">
        <v>43</v>
      </c>
      <c r="C167" s="536">
        <v>189.9657</v>
      </c>
      <c r="D167" s="536">
        <v>192.33869999999999</v>
      </c>
      <c r="E167" s="536">
        <v>190.14</v>
      </c>
      <c r="F167" s="536">
        <v>191.81809999999999</v>
      </c>
      <c r="G167" s="536">
        <v>198.36269999999999</v>
      </c>
      <c r="H167" s="536">
        <v>204.98580000000001</v>
      </c>
      <c r="I167" s="536">
        <v>209.71440000000001</v>
      </c>
      <c r="J167" s="536">
        <v>212.99930000000001</v>
      </c>
      <c r="K167" s="536">
        <v>219.9495</v>
      </c>
      <c r="L167" s="536">
        <v>229.9597</v>
      </c>
      <c r="M167" s="536">
        <v>238.55109999999999</v>
      </c>
      <c r="N167" s="536">
        <v>236.16570213007014</v>
      </c>
      <c r="O167" s="536">
        <v>235.69768729942857</v>
      </c>
      <c r="P167" s="536">
        <v>235.18095665085545</v>
      </c>
      <c r="Q167" s="536">
        <v>238.92539373891435</v>
      </c>
      <c r="R167" s="536">
        <v>240.16368025016871</v>
      </c>
      <c r="S167" s="536">
        <v>241.32934011511611</v>
      </c>
      <c r="T167" s="536">
        <v>245.74017169446287</v>
      </c>
      <c r="U167" s="536">
        <v>253.27765288933659</v>
      </c>
      <c r="V167" s="536">
        <v>255.57592515444134</v>
      </c>
      <c r="W167" s="536">
        <v>264.56147249256401</v>
      </c>
      <c r="X167" s="536">
        <v>267.45765208559999</v>
      </c>
      <c r="Y167" s="536">
        <v>268.49790711840598</v>
      </c>
      <c r="Z167" s="536">
        <v>267.68407137563202</v>
      </c>
      <c r="AA167" s="536">
        <v>274.56001491778704</v>
      </c>
      <c r="AB167" s="536">
        <v>281.33282201065998</v>
      </c>
      <c r="AC167" s="536">
        <v>292.03857644860796</v>
      </c>
      <c r="AD167" s="536">
        <v>301.53563897944497</v>
      </c>
      <c r="AE167" s="536">
        <v>307.60753330763401</v>
      </c>
      <c r="AF167" s="536">
        <v>301.36402770053195</v>
      </c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>
      <c r="A168" s="17">
        <v>652</v>
      </c>
      <c r="B168" s="17" t="s">
        <v>137</v>
      </c>
      <c r="C168" s="536">
        <v>27.245039999999999</v>
      </c>
      <c r="D168" s="536">
        <v>30.235420000000001</v>
      </c>
      <c r="E168" s="536">
        <v>31.45823</v>
      </c>
      <c r="F168" s="536">
        <v>31.986370000000001</v>
      </c>
      <c r="G168" s="536">
        <v>30.536190000000001</v>
      </c>
      <c r="H168" s="536">
        <v>31.760280000000002</v>
      </c>
      <c r="I168" s="536">
        <v>30.394819999999999</v>
      </c>
      <c r="J168" s="536">
        <v>31.04158</v>
      </c>
      <c r="K168" s="536">
        <v>35.881700000000002</v>
      </c>
      <c r="L168" s="536">
        <v>30.628039999999999</v>
      </c>
      <c r="M168" s="536">
        <v>32.07987</v>
      </c>
      <c r="N168" s="536">
        <v>34.781749116553783</v>
      </c>
      <c r="O168" s="536">
        <v>38.534274780657093</v>
      </c>
      <c r="P168" s="536">
        <v>40.649393245654593</v>
      </c>
      <c r="Q168" s="536">
        <v>43.893608639496911</v>
      </c>
      <c r="R168" s="536">
        <v>46.858848643873493</v>
      </c>
      <c r="S168" s="536">
        <v>51.709441932567756</v>
      </c>
      <c r="T168" s="536">
        <v>54.992691036976545</v>
      </c>
      <c r="U168" s="536">
        <v>58.277452531274619</v>
      </c>
      <c r="V168" s="536">
        <v>57.148691034454821</v>
      </c>
      <c r="W168" s="536">
        <v>57.456117374319298</v>
      </c>
      <c r="X168" s="536">
        <v>60.81408186900201</v>
      </c>
      <c r="Y168" s="536">
        <v>64.538174702079999</v>
      </c>
      <c r="Z168" s="536">
        <v>62.657634454160998</v>
      </c>
      <c r="AA168" s="536">
        <v>68.306727993737098</v>
      </c>
      <c r="AB168" s="536">
        <v>71.467058151039396</v>
      </c>
      <c r="AC168" s="536">
        <v>77.457581076775512</v>
      </c>
      <c r="AD168" s="536">
        <v>81.042755782955197</v>
      </c>
      <c r="AE168" s="536">
        <v>83.500588750494998</v>
      </c>
      <c r="AF168" s="536">
        <v>86.945160140238386</v>
      </c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</row>
    <row r="169" spans="1:48">
      <c r="A169" s="17">
        <v>702</v>
      </c>
      <c r="B169" s="17" t="s">
        <v>150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536">
        <v>7.9503515409169525</v>
      </c>
      <c r="Q169" s="536">
        <v>7.4183360275540604</v>
      </c>
      <c r="R169" s="536">
        <v>5.4984770220533097</v>
      </c>
      <c r="S169" s="536">
        <v>4.7839218452809629</v>
      </c>
      <c r="T169" s="536">
        <v>4.5280553703501756</v>
      </c>
      <c r="U169" s="536">
        <v>4.6106774687127841</v>
      </c>
      <c r="V169" s="536">
        <v>5.4806234695449056</v>
      </c>
      <c r="W169" s="536">
        <v>6.6143399628077413</v>
      </c>
      <c r="X169" s="536">
        <v>7.1443219306507775</v>
      </c>
      <c r="Y169" s="536">
        <v>7.7398250177254218</v>
      </c>
      <c r="Z169" s="536">
        <v>8.9358168487646292</v>
      </c>
      <c r="AA169" s="536">
        <v>9.580053162518043</v>
      </c>
      <c r="AB169" s="536">
        <v>10.383174412200461</v>
      </c>
      <c r="AC169" s="536">
        <v>10.634847278489763</v>
      </c>
      <c r="AD169" s="536">
        <v>12.48370402951968</v>
      </c>
      <c r="AE169" s="536">
        <v>14.123254408802401</v>
      </c>
      <c r="AF169" s="536">
        <v>13.7676175465512</v>
      </c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</row>
    <row r="170" spans="1:48">
      <c r="A170" s="17">
        <v>713</v>
      </c>
      <c r="B170" s="17" t="s">
        <v>156</v>
      </c>
      <c r="C170" s="536">
        <v>130.1952</v>
      </c>
      <c r="D170" s="536">
        <v>138.2449</v>
      </c>
      <c r="E170" s="536">
        <v>142.8655</v>
      </c>
      <c r="F170" s="536">
        <v>154.35900000000001</v>
      </c>
      <c r="G170" s="536">
        <v>170.49799999999999</v>
      </c>
      <c r="H170" s="536">
        <v>178.99080000000001</v>
      </c>
      <c r="I170" s="536">
        <v>198.8587</v>
      </c>
      <c r="J170" s="536">
        <v>223.8467</v>
      </c>
      <c r="K170" s="536">
        <v>241.7244</v>
      </c>
      <c r="L170" s="536">
        <v>261.92959999999999</v>
      </c>
      <c r="M170" s="536">
        <v>276.93259999999998</v>
      </c>
      <c r="N170" s="536">
        <v>297.39108443254503</v>
      </c>
      <c r="O170" s="536">
        <v>320.97444144941682</v>
      </c>
      <c r="P170" s="536">
        <v>343.09868774884222</v>
      </c>
      <c r="Q170" s="536">
        <v>368.66561388868746</v>
      </c>
      <c r="R170" s="536">
        <v>391.89175534763194</v>
      </c>
      <c r="S170" s="536">
        <v>416.26406890685536</v>
      </c>
      <c r="T170" s="536">
        <v>443.42140659658111</v>
      </c>
      <c r="U170" s="536">
        <v>463.72101878562006</v>
      </c>
      <c r="V170" s="536">
        <v>489.20154669251974</v>
      </c>
      <c r="W170" s="536">
        <v>514.81329620397594</v>
      </c>
      <c r="X170" s="536">
        <v>503.15504723360004</v>
      </c>
      <c r="Y170" s="536">
        <v>547.74708291131401</v>
      </c>
      <c r="Z170" s="536">
        <v>559.59408228337304</v>
      </c>
      <c r="AA170" s="536">
        <v>582.78458501972591</v>
      </c>
      <c r="AB170" s="536">
        <v>612.86090674223101</v>
      </c>
      <c r="AC170" s="536">
        <v>657.59509688427602</v>
      </c>
      <c r="AD170" s="536">
        <v>706.82515258073306</v>
      </c>
      <c r="AE170" s="536">
        <v>679.83282083845904</v>
      </c>
      <c r="AF170" s="536">
        <v>659.72829650901599</v>
      </c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</row>
    <row r="171" spans="1:48">
      <c r="A171" s="17">
        <v>510</v>
      </c>
      <c r="B171" s="17" t="s">
        <v>107</v>
      </c>
      <c r="C171" s="536">
        <v>12.635730000000001</v>
      </c>
      <c r="D171" s="536">
        <v>12.46292</v>
      </c>
      <c r="E171" s="536">
        <v>12.363709999999999</v>
      </c>
      <c r="F171" s="536">
        <v>12.249129999999999</v>
      </c>
      <c r="G171" s="536">
        <v>12.603960000000001</v>
      </c>
      <c r="H171" s="536">
        <v>13.18549</v>
      </c>
      <c r="I171" s="536">
        <v>13.629860000000001</v>
      </c>
      <c r="J171" s="536">
        <v>14.612959999999999</v>
      </c>
      <c r="K171" s="536">
        <v>15.21097</v>
      </c>
      <c r="L171" s="536">
        <v>15.674759999999999</v>
      </c>
      <c r="M171" s="536">
        <v>16.634889999999999</v>
      </c>
      <c r="N171" s="536">
        <v>18.577353204978671</v>
      </c>
      <c r="O171" s="536">
        <v>18.281245391837938</v>
      </c>
      <c r="P171" s="536">
        <v>17.773947452549358</v>
      </c>
      <c r="Q171" s="536">
        <v>18.501965220795739</v>
      </c>
      <c r="R171" s="536">
        <v>19.11582530141202</v>
      </c>
      <c r="S171" s="536">
        <v>20.540638501669225</v>
      </c>
      <c r="T171" s="536">
        <v>21.425422514713624</v>
      </c>
      <c r="U171" s="536">
        <v>22.762557681648151</v>
      </c>
      <c r="V171" s="536">
        <v>23.603473472707051</v>
      </c>
      <c r="W171" s="536">
        <v>24.261944238985532</v>
      </c>
      <c r="X171" s="536">
        <v>25.513576578964255</v>
      </c>
      <c r="Y171" s="536">
        <v>27.534847459078172</v>
      </c>
      <c r="Z171" s="536">
        <v>28.816186712949587</v>
      </c>
      <c r="AA171" s="536">
        <v>30.509664484308999</v>
      </c>
      <c r="AB171" s="536">
        <v>35.535188925415149</v>
      </c>
      <c r="AC171" s="536">
        <v>37.93252981381999</v>
      </c>
      <c r="AD171" s="536">
        <v>40.924062144259715</v>
      </c>
      <c r="AE171" s="536">
        <v>45.6540063287717</v>
      </c>
      <c r="AF171" s="536">
        <v>48.822364380234603</v>
      </c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</row>
    <row r="172" spans="1:48">
      <c r="A172" s="17">
        <v>800</v>
      </c>
      <c r="B172" s="17" t="s">
        <v>168</v>
      </c>
      <c r="C172" s="536">
        <v>115.8177</v>
      </c>
      <c r="D172" s="536">
        <v>125.55410000000001</v>
      </c>
      <c r="E172" s="536">
        <v>134.1848</v>
      </c>
      <c r="F172" s="536">
        <v>136.24799999999999</v>
      </c>
      <c r="G172" s="536">
        <v>145.64420000000001</v>
      </c>
      <c r="H172" s="536">
        <v>156.68119999999999</v>
      </c>
      <c r="I172" s="536">
        <v>163.9222</v>
      </c>
      <c r="J172" s="536">
        <v>175.51349999999999</v>
      </c>
      <c r="K172" s="536">
        <v>192.464</v>
      </c>
      <c r="L172" s="536">
        <v>214.28899999999999</v>
      </c>
      <c r="M172" s="536">
        <v>245.90270000000001</v>
      </c>
      <c r="N172" s="536">
        <v>267.99073089124141</v>
      </c>
      <c r="O172" s="536">
        <v>291.10012611251722</v>
      </c>
      <c r="P172" s="536">
        <v>312.95950017046499</v>
      </c>
      <c r="Q172" s="536">
        <v>338.66489828857408</v>
      </c>
      <c r="R172" s="536">
        <v>361.96468595553648</v>
      </c>
      <c r="S172" s="536">
        <v>379.07236671262348</v>
      </c>
      <c r="T172" s="536">
        <v>371.80644180977123</v>
      </c>
      <c r="U172" s="536">
        <v>332.98507983101308</v>
      </c>
      <c r="V172" s="536">
        <v>349.00956025415951</v>
      </c>
      <c r="W172" s="536">
        <v>356.83049108653279</v>
      </c>
      <c r="X172" s="536">
        <v>371.03009219524199</v>
      </c>
      <c r="Y172" s="536">
        <v>387.16365823030935</v>
      </c>
      <c r="Z172" s="536">
        <v>414.21766881909605</v>
      </c>
      <c r="AA172" s="536">
        <v>437.28218451276246</v>
      </c>
      <c r="AB172" s="536">
        <v>456.68573692849304</v>
      </c>
      <c r="AC172" s="536">
        <v>481.06891467339932</v>
      </c>
      <c r="AD172" s="536">
        <v>504.76516869490297</v>
      </c>
      <c r="AE172" s="536">
        <v>514.71412701909856</v>
      </c>
      <c r="AF172" s="536">
        <v>514.29492374475603</v>
      </c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</row>
    <row r="173" spans="1:48">
      <c r="A173" s="17">
        <v>701</v>
      </c>
      <c r="B173" s="17" t="s">
        <v>149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536">
        <v>19.592643793801923</v>
      </c>
      <c r="Q173" s="536">
        <v>16.324785334116356</v>
      </c>
      <c r="R173" s="536">
        <v>14.748790007762157</v>
      </c>
      <c r="S173" s="536">
        <v>16.455547302263614</v>
      </c>
      <c r="T173" s="536">
        <v>14.101108716924138</v>
      </c>
      <c r="U173" s="536">
        <v>15.505639840983671</v>
      </c>
      <c r="V173" s="536">
        <v>17.681345449024096</v>
      </c>
      <c r="W173" s="536">
        <v>19.093033689861002</v>
      </c>
      <c r="X173" s="536">
        <v>19.550156256099001</v>
      </c>
      <c r="Y173" s="536">
        <v>19.599432157899898</v>
      </c>
      <c r="Z173" s="536">
        <v>20.253669327725202</v>
      </c>
      <c r="AA173" s="536">
        <v>21.142599199027199</v>
      </c>
      <c r="AB173" s="536">
        <v>23.9993409701408</v>
      </c>
      <c r="AC173" s="536">
        <v>26.37798187504</v>
      </c>
      <c r="AD173" s="536">
        <v>29.575621324849603</v>
      </c>
      <c r="AE173" s="536">
        <v>32.391398181631502</v>
      </c>
      <c r="AF173" s="536">
        <v>33.882085203117995</v>
      </c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</row>
    <row r="174" spans="1:48">
      <c r="A174" s="17">
        <v>461</v>
      </c>
      <c r="B174" s="17" t="s">
        <v>97</v>
      </c>
      <c r="C174" s="536">
        <v>3.4711669999999999</v>
      </c>
      <c r="D174" s="536">
        <v>3.1283910000000001</v>
      </c>
      <c r="E174" s="536">
        <v>2.9921470000000001</v>
      </c>
      <c r="F174" s="536">
        <v>2.841818</v>
      </c>
      <c r="G174" s="536">
        <v>2.8510810000000002</v>
      </c>
      <c r="H174" s="536">
        <v>3.0161310000000001</v>
      </c>
      <c r="I174" s="536">
        <v>3.178979</v>
      </c>
      <c r="J174" s="536">
        <v>3.0986639999999999</v>
      </c>
      <c r="K174" s="536">
        <v>3.38131</v>
      </c>
      <c r="L174" s="536">
        <v>3.5957340000000002</v>
      </c>
      <c r="M174" s="536">
        <v>3.881948</v>
      </c>
      <c r="N174" s="536">
        <v>3.7883099193878396</v>
      </c>
      <c r="O174" s="536">
        <v>3.6966493610472799</v>
      </c>
      <c r="P174" s="536">
        <v>3.0587663119180299</v>
      </c>
      <c r="Q174" s="536">
        <v>3.4956560947560997</v>
      </c>
      <c r="R174" s="536">
        <v>3.7177414443741599</v>
      </c>
      <c r="S174" s="536">
        <v>4.0283053379085203</v>
      </c>
      <c r="T174" s="536">
        <v>4.2027669326865595</v>
      </c>
      <c r="U174" s="536">
        <v>4.07925253410035</v>
      </c>
      <c r="V174" s="536">
        <v>4.1264055695643203</v>
      </c>
      <c r="W174" s="536">
        <v>4.1817245400153604</v>
      </c>
      <c r="X174" s="536">
        <v>4.0094481356734999</v>
      </c>
      <c r="Y174" s="536">
        <v>3.9549451408030198</v>
      </c>
      <c r="Z174" s="536">
        <v>4.13688960303325</v>
      </c>
      <c r="AA174" s="536">
        <v>4.2573415105627594</v>
      </c>
      <c r="AB174" s="536">
        <v>4.2173399328610497</v>
      </c>
      <c r="AC174" s="536">
        <v>4.4120133021990009</v>
      </c>
      <c r="AD174" s="536">
        <v>4.4917757786064003</v>
      </c>
      <c r="AE174" s="536">
        <v>4.5384375235755998</v>
      </c>
      <c r="AF174" s="536">
        <v>4.6980437311731</v>
      </c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</row>
    <row r="175" spans="1:48">
      <c r="A175" s="17">
        <v>955</v>
      </c>
      <c r="B175" s="17" t="s">
        <v>185</v>
      </c>
      <c r="C175" s="536">
        <v>0.31434800000000002</v>
      </c>
      <c r="D175" s="536">
        <v>0.43192629999999999</v>
      </c>
      <c r="E175" s="536">
        <v>0.50865479999999996</v>
      </c>
      <c r="F175" s="536">
        <v>0.51168749999999996</v>
      </c>
      <c r="G175" s="536">
        <v>0.44716909999999999</v>
      </c>
      <c r="H175" s="536">
        <v>0.47664060000000003</v>
      </c>
      <c r="I175" s="536">
        <v>0.48524329999999999</v>
      </c>
      <c r="J175" s="536">
        <v>0.50287090000000001</v>
      </c>
      <c r="K175" s="536">
        <v>0.49122840000000001</v>
      </c>
      <c r="L175" s="536">
        <v>0.49588779999999999</v>
      </c>
      <c r="M175" s="536">
        <v>0.49007640000000002</v>
      </c>
      <c r="N175" s="536">
        <v>0.52276353799377917</v>
      </c>
      <c r="O175" s="536">
        <v>0.52305176735423153</v>
      </c>
      <c r="P175" s="536">
        <v>0.53914745594846447</v>
      </c>
      <c r="Q175" s="536">
        <v>0.56529266896074182</v>
      </c>
      <c r="R175" s="536">
        <v>0.58170881447783995</v>
      </c>
      <c r="S175" s="536">
        <v>0.59580402033431634</v>
      </c>
      <c r="T175" s="536">
        <v>0.58826752033447083</v>
      </c>
      <c r="U175" s="536">
        <v>0.59968265548501809</v>
      </c>
      <c r="V175" s="536">
        <v>0.62706015283116034</v>
      </c>
      <c r="W175" s="536">
        <v>0.64845967047999997</v>
      </c>
      <c r="X175" s="536">
        <v>0.66949227155200008</v>
      </c>
      <c r="Y175" s="536">
        <v>0.67289735164629993</v>
      </c>
      <c r="Z175" s="536">
        <v>0.68855556741720003</v>
      </c>
      <c r="AA175" s="536">
        <v>0.69553700115700001</v>
      </c>
      <c r="AB175" s="536">
        <v>0.80576560912669992</v>
      </c>
      <c r="AC175" s="536">
        <v>0.82848895052560001</v>
      </c>
      <c r="AD175" s="536">
        <v>0.7889057600528</v>
      </c>
      <c r="AE175" s="536">
        <v>0.81751624355100005</v>
      </c>
      <c r="AF175" s="536">
        <v>0.82555904136299996</v>
      </c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</row>
    <row r="176" spans="1:48">
      <c r="A176" s="17">
        <v>52</v>
      </c>
      <c r="B176" s="17" t="s">
        <v>7</v>
      </c>
      <c r="C176" s="536">
        <v>13.74874</v>
      </c>
      <c r="D176" s="536">
        <v>14.13353</v>
      </c>
      <c r="E176" s="536">
        <v>13.816420000000001</v>
      </c>
      <c r="F176" s="536">
        <v>12.357530000000001</v>
      </c>
      <c r="G176" s="536">
        <v>12.125690000000001</v>
      </c>
      <c r="H176" s="536">
        <v>11.62391</v>
      </c>
      <c r="I176" s="536">
        <v>10.80836</v>
      </c>
      <c r="J176" s="536">
        <v>11.02416</v>
      </c>
      <c r="K176" s="536">
        <v>10.946300000000001</v>
      </c>
      <c r="L176" s="536">
        <v>11.01416</v>
      </c>
      <c r="M176" s="536">
        <v>11.65222</v>
      </c>
      <c r="N176" s="536">
        <v>11.567571220953173</v>
      </c>
      <c r="O176" s="536">
        <v>11.916953881452201</v>
      </c>
      <c r="P176" s="536">
        <v>11.056804543642366</v>
      </c>
      <c r="Q176" s="536">
        <v>12.161622913093616</v>
      </c>
      <c r="R176" s="536">
        <v>12.824140977013533</v>
      </c>
      <c r="S176" s="536">
        <v>13.606639871956473</v>
      </c>
      <c r="T176" s="536">
        <v>13.653238775393252</v>
      </c>
      <c r="U176" s="536">
        <v>14.710863225248904</v>
      </c>
      <c r="V176" s="536">
        <v>16.125938857570805</v>
      </c>
      <c r="W176" s="536">
        <v>18.827778296907997</v>
      </c>
      <c r="X176" s="536">
        <v>19.103863646571</v>
      </c>
      <c r="Y176" s="536">
        <v>19.870235975464002</v>
      </c>
      <c r="Z176" s="536">
        <v>23.333351806997999</v>
      </c>
      <c r="AA176" s="536">
        <v>24.209426099102998</v>
      </c>
      <c r="AB176" s="536">
        <v>28.344748539373001</v>
      </c>
      <c r="AC176" s="536">
        <v>29.009794522539998</v>
      </c>
      <c r="AD176" s="536">
        <v>32.411045031795005</v>
      </c>
      <c r="AE176" s="536">
        <v>39.052926524256996</v>
      </c>
      <c r="AF176" s="536">
        <v>38.200522602269999</v>
      </c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</row>
    <row r="177" spans="1:48">
      <c r="A177" s="17">
        <v>616</v>
      </c>
      <c r="B177" s="17" t="s">
        <v>130</v>
      </c>
      <c r="C177" s="536">
        <v>20.242270000000001</v>
      </c>
      <c r="D177" s="536">
        <v>21.573879999999999</v>
      </c>
      <c r="E177" s="536">
        <v>21.28753</v>
      </c>
      <c r="F177" s="536">
        <v>22.126529999999999</v>
      </c>
      <c r="G177" s="536">
        <v>23.58004</v>
      </c>
      <c r="H177" s="536">
        <v>24.54468</v>
      </c>
      <c r="I177" s="536">
        <v>23.531749999999999</v>
      </c>
      <c r="J177" s="536">
        <v>24.484850000000002</v>
      </c>
      <c r="K177" s="536">
        <v>24.516839999999998</v>
      </c>
      <c r="L177" s="536">
        <v>25.389610000000001</v>
      </c>
      <c r="M177" s="536">
        <v>27.516480000000001</v>
      </c>
      <c r="N177" s="536">
        <v>28.614583276676889</v>
      </c>
      <c r="O177" s="536">
        <v>31.200782828798751</v>
      </c>
      <c r="P177" s="536">
        <v>31.680555801050168</v>
      </c>
      <c r="Q177" s="536">
        <v>32.260426835557688</v>
      </c>
      <c r="R177" s="536">
        <v>33.034526548910748</v>
      </c>
      <c r="S177" s="536">
        <v>35.764206059966085</v>
      </c>
      <c r="T177" s="536">
        <v>37.6761708340076</v>
      </c>
      <c r="U177" s="536">
        <v>39.493816019044722</v>
      </c>
      <c r="V177" s="536">
        <v>41.960083360299606</v>
      </c>
      <c r="W177" s="536">
        <v>43.9409794024292</v>
      </c>
      <c r="X177" s="536">
        <v>46.088356926982996</v>
      </c>
      <c r="Y177" s="536">
        <v>46.571238618729005</v>
      </c>
      <c r="Z177" s="536">
        <v>49.267582427681205</v>
      </c>
      <c r="AA177" s="536">
        <v>52.176797412067408</v>
      </c>
      <c r="AB177" s="536">
        <v>53.864510486796796</v>
      </c>
      <c r="AC177" s="536">
        <v>57.141094120256</v>
      </c>
      <c r="AD177" s="536">
        <v>60.647686254194191</v>
      </c>
      <c r="AE177" s="536">
        <v>63.779714798290399</v>
      </c>
      <c r="AF177" s="536">
        <v>65.648113111061804</v>
      </c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</row>
    <row r="178" spans="1:48">
      <c r="A178" s="17">
        <v>640</v>
      </c>
      <c r="B178" s="17" t="s">
        <v>134</v>
      </c>
      <c r="C178" s="536">
        <v>244.48769999999999</v>
      </c>
      <c r="D178" s="536">
        <v>250.4606</v>
      </c>
      <c r="E178" s="536">
        <v>259.97039999999998</v>
      </c>
      <c r="F178" s="536">
        <v>276.04989999999998</v>
      </c>
      <c r="G178" s="536">
        <v>295.59350000000001</v>
      </c>
      <c r="H178" s="536">
        <v>304.54239999999999</v>
      </c>
      <c r="I178" s="536">
        <v>324.72550000000001</v>
      </c>
      <c r="J178" s="536">
        <v>345.95870000000002</v>
      </c>
      <c r="K178" s="536">
        <v>351.64620000000002</v>
      </c>
      <c r="L178" s="536">
        <v>351.95209999999997</v>
      </c>
      <c r="M178" s="536">
        <v>389.48379999999997</v>
      </c>
      <c r="N178" s="536">
        <v>395.30103846577038</v>
      </c>
      <c r="O178" s="536">
        <v>414.52629212508594</v>
      </c>
      <c r="P178" s="536">
        <v>452.38248649942255</v>
      </c>
      <c r="Q178" s="536">
        <v>426.62363336885784</v>
      </c>
      <c r="R178" s="536">
        <v>455.41397956606494</v>
      </c>
      <c r="S178" s="536">
        <v>492.05790367242935</v>
      </c>
      <c r="T178" s="536">
        <v>531.5968919820674</v>
      </c>
      <c r="U178" s="536">
        <v>545.82404178343756</v>
      </c>
      <c r="V178" s="536">
        <v>530.32101687325871</v>
      </c>
      <c r="W178" s="536">
        <v>564.93345900157203</v>
      </c>
      <c r="X178" s="536">
        <v>534.64264847867992</v>
      </c>
      <c r="Y178" s="536">
        <v>565.64048667831901</v>
      </c>
      <c r="Z178" s="536">
        <v>597.20710158998929</v>
      </c>
      <c r="AA178" s="536">
        <v>653.25345208027863</v>
      </c>
      <c r="AB178" s="536">
        <v>706.51375535558452</v>
      </c>
      <c r="AC178" s="536">
        <v>753.03953633658989</v>
      </c>
      <c r="AD178" s="536">
        <v>788.76402524923196</v>
      </c>
      <c r="AE178" s="536">
        <v>792.33412852269794</v>
      </c>
      <c r="AF178" s="536">
        <v>761.94128870486281</v>
      </c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</row>
    <row r="179" spans="1:48">
      <c r="A179" s="17">
        <v>696</v>
      </c>
      <c r="B179" s="17" t="s">
        <v>146</v>
      </c>
      <c r="C179" s="536"/>
      <c r="D179" s="536"/>
      <c r="E179" s="536"/>
      <c r="F179" s="536"/>
      <c r="G179" s="536"/>
      <c r="H179" s="536"/>
      <c r="I179" s="536">
        <v>56.39087</v>
      </c>
      <c r="J179" s="536">
        <v>58.363570000000003</v>
      </c>
      <c r="K179" s="536">
        <v>58.1768</v>
      </c>
      <c r="L179" s="536">
        <v>65.388099999999994</v>
      </c>
      <c r="M179" s="536">
        <v>75.758260000000007</v>
      </c>
      <c r="N179" s="536">
        <v>78.681696881223289</v>
      </c>
      <c r="O179" s="536">
        <v>81.436147278702165</v>
      </c>
      <c r="P179" s="536">
        <v>83.122528662167113</v>
      </c>
      <c r="Q179" s="536">
        <v>89.914442906511027</v>
      </c>
      <c r="R179" s="536">
        <v>94.803894453075074</v>
      </c>
      <c r="S179" s="536">
        <v>103.25151424071876</v>
      </c>
      <c r="T179" s="536">
        <v>111.53482719044648</v>
      </c>
      <c r="U179" s="536">
        <v>111.42118096885541</v>
      </c>
      <c r="V179" s="536">
        <v>112.71607089853929</v>
      </c>
      <c r="W179" s="536">
        <v>122.08348325061601</v>
      </c>
      <c r="X179" s="536">
        <v>132.380865627936</v>
      </c>
      <c r="Y179" s="536">
        <v>137.97447665278199</v>
      </c>
      <c r="Z179" s="536">
        <v>155.404028952864</v>
      </c>
      <c r="AA179" s="536">
        <v>172.78297348832399</v>
      </c>
      <c r="AB179" s="536">
        <v>194.90440130084602</v>
      </c>
      <c r="AC179" s="536">
        <v>219.54892227357598</v>
      </c>
      <c r="AD179" s="536">
        <v>239.29957574696797</v>
      </c>
      <c r="AE179" s="536">
        <v>260.27061232601301</v>
      </c>
      <c r="AF179" s="536">
        <v>253.599835359032</v>
      </c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</row>
    <row r="180" spans="1:48">
      <c r="A180" s="17">
        <v>500</v>
      </c>
      <c r="B180" s="17" t="s">
        <v>105</v>
      </c>
      <c r="C180" s="536">
        <v>6.7636180000000001</v>
      </c>
      <c r="D180" s="536">
        <v>6.5055750000000003</v>
      </c>
      <c r="E180" s="536">
        <v>7.0948479999999998</v>
      </c>
      <c r="F180" s="536">
        <v>7.5785970000000002</v>
      </c>
      <c r="G180" s="536">
        <v>7.6047900000000004</v>
      </c>
      <c r="H180" s="536">
        <v>7.4015560000000002</v>
      </c>
      <c r="I180" s="536">
        <v>7.5748499999999996</v>
      </c>
      <c r="J180" s="536">
        <v>7.9459090000000003</v>
      </c>
      <c r="K180" s="536">
        <v>8.3443079999999998</v>
      </c>
      <c r="L180" s="536">
        <v>8.9450850000000006</v>
      </c>
      <c r="M180" s="536">
        <v>9.6622090000000007</v>
      </c>
      <c r="N180" s="536">
        <v>10.23862899738258</v>
      </c>
      <c r="O180" s="536">
        <v>10.591146745506956</v>
      </c>
      <c r="P180" s="536">
        <v>11.476047242418213</v>
      </c>
      <c r="Q180" s="536">
        <v>14.160533945444072</v>
      </c>
      <c r="R180" s="536">
        <v>14.300421020153051</v>
      </c>
      <c r="S180" s="536">
        <v>15.35982153454445</v>
      </c>
      <c r="T180" s="536">
        <v>16.333262411921829</v>
      </c>
      <c r="U180" s="536">
        <v>17.399891441896656</v>
      </c>
      <c r="V180" s="536">
        <v>18.820707586856493</v>
      </c>
      <c r="W180" s="536">
        <v>19.664752650737519</v>
      </c>
      <c r="X180" s="536">
        <v>20.706086933443501</v>
      </c>
      <c r="Y180" s="536">
        <v>21.944183409384298</v>
      </c>
      <c r="Z180" s="536">
        <v>23.066793149547781</v>
      </c>
      <c r="AA180" s="536">
        <v>24.258624626563204</v>
      </c>
      <c r="AB180" s="536">
        <v>28.203247981956999</v>
      </c>
      <c r="AC180" s="536">
        <v>30.014423166077702</v>
      </c>
      <c r="AD180" s="536">
        <v>32.195473922211605</v>
      </c>
      <c r="AE180" s="536">
        <v>35.201946641822403</v>
      </c>
      <c r="AF180" s="536">
        <v>37.296632356385999</v>
      </c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</row>
    <row r="181" spans="1:48">
      <c r="A181" s="17">
        <v>200</v>
      </c>
      <c r="B181" s="17" t="s">
        <v>35</v>
      </c>
      <c r="C181" s="536">
        <v>1077.8230000000001</v>
      </c>
      <c r="D181" s="536">
        <v>1069.306</v>
      </c>
      <c r="E181" s="536">
        <v>1083.5329999999999</v>
      </c>
      <c r="F181" s="536">
        <v>1122.508</v>
      </c>
      <c r="G181" s="536">
        <v>1149.1510000000001</v>
      </c>
      <c r="H181" s="536">
        <v>1187.3019999999999</v>
      </c>
      <c r="I181" s="536">
        <v>1236.8510000000001</v>
      </c>
      <c r="J181" s="536">
        <v>1291.758</v>
      </c>
      <c r="K181" s="536">
        <v>1361.44</v>
      </c>
      <c r="L181" s="536">
        <v>1393.6790000000001</v>
      </c>
      <c r="M181" s="536">
        <v>1405.1969999999999</v>
      </c>
      <c r="N181" s="536">
        <v>1389.3324097748527</v>
      </c>
      <c r="O181" s="536">
        <v>1394.3403819393257</v>
      </c>
      <c r="P181" s="536">
        <v>1424.7618502838745</v>
      </c>
      <c r="Q181" s="536">
        <v>1481.5030351559719</v>
      </c>
      <c r="R181" s="536">
        <v>1521.3698814475301</v>
      </c>
      <c r="S181" s="536">
        <v>1565.286249192575</v>
      </c>
      <c r="T181" s="536">
        <v>1613.3816507253598</v>
      </c>
      <c r="U181" s="536">
        <v>1669.6634055858001</v>
      </c>
      <c r="V181" s="536">
        <v>1722.4284686106</v>
      </c>
      <c r="W181" s="536">
        <v>1788.0748983840999</v>
      </c>
      <c r="X181" s="536">
        <v>1831.051707796875</v>
      </c>
      <c r="Y181" s="536">
        <v>1870.446308596858</v>
      </c>
      <c r="Z181" s="536">
        <v>1934.4481622039202</v>
      </c>
      <c r="AA181" s="536">
        <v>1997.5342317186899</v>
      </c>
      <c r="AB181" s="536">
        <v>2067.6283275341889</v>
      </c>
      <c r="AC181" s="536">
        <v>2127.0667582411611</v>
      </c>
      <c r="AD181" s="536">
        <v>2183.4664089355588</v>
      </c>
      <c r="AE181" s="536">
        <v>2184.691615835186</v>
      </c>
      <c r="AF181" s="536">
        <v>2071.2957239055768</v>
      </c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</row>
    <row r="182" spans="1:48">
      <c r="A182" s="17">
        <v>369</v>
      </c>
      <c r="B182" s="17" t="s">
        <v>71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536">
        <v>288.59958877164451</v>
      </c>
      <c r="Q182" s="536">
        <v>234.59459540465522</v>
      </c>
      <c r="R182" s="536">
        <v>205.06705037261491</v>
      </c>
      <c r="S182" s="536">
        <v>184.37287072930931</v>
      </c>
      <c r="T182" s="536">
        <v>180.58813821616067</v>
      </c>
      <c r="U182" s="536">
        <v>180.00267063642806</v>
      </c>
      <c r="V182" s="536">
        <v>182.33134470916352</v>
      </c>
      <c r="W182" s="536">
        <v>192.14319482839801</v>
      </c>
      <c r="X182" s="536">
        <v>208.78180977211639</v>
      </c>
      <c r="Y182" s="536">
        <v>221.5086248142849</v>
      </c>
      <c r="Z182" s="536">
        <v>242.17032079703759</v>
      </c>
      <c r="AA182" s="536">
        <v>272.80740961647848</v>
      </c>
      <c r="AB182" s="536">
        <v>283.12942524057843</v>
      </c>
      <c r="AC182" s="536">
        <v>304.52219317447197</v>
      </c>
      <c r="AD182" s="536">
        <v>329.81790987767999</v>
      </c>
      <c r="AE182" s="536">
        <v>338.69907499526545</v>
      </c>
      <c r="AF182" s="536">
        <v>293.16711092042999</v>
      </c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</row>
    <row r="183" spans="1:48">
      <c r="A183" s="17">
        <v>165</v>
      </c>
      <c r="B183" s="17" t="s">
        <v>34</v>
      </c>
      <c r="C183" s="536">
        <v>19.416350000000001</v>
      </c>
      <c r="D183" s="536">
        <v>19.543109999999999</v>
      </c>
      <c r="E183" s="536">
        <v>17.523890000000002</v>
      </c>
      <c r="F183" s="536">
        <v>15.86749</v>
      </c>
      <c r="G183" s="536">
        <v>15.4895</v>
      </c>
      <c r="H183" s="536">
        <v>15.612579999999999</v>
      </c>
      <c r="I183" s="536">
        <v>17.203700000000001</v>
      </c>
      <c r="J183" s="536">
        <v>18.925059999999998</v>
      </c>
      <c r="K183" s="536">
        <v>18.795490000000001</v>
      </c>
      <c r="L183" s="536">
        <v>18.892150000000001</v>
      </c>
      <c r="M183" s="536">
        <v>18.870280000000001</v>
      </c>
      <c r="N183" s="536">
        <v>19.823774198726102</v>
      </c>
      <c r="O183" s="536">
        <v>22.022230619984096</v>
      </c>
      <c r="P183" s="536">
        <v>22.9259929248284</v>
      </c>
      <c r="Q183" s="536">
        <v>24.733628605538801</v>
      </c>
      <c r="R183" s="536">
        <v>24.413888120265</v>
      </c>
      <c r="S183" s="536">
        <v>25.827823270958799</v>
      </c>
      <c r="T183" s="536">
        <v>27.274129402588699</v>
      </c>
      <c r="U183" s="536">
        <v>28.796951346785601</v>
      </c>
      <c r="V183" s="536">
        <v>27.945829075461599</v>
      </c>
      <c r="W183" s="536">
        <v>27.382833465204001</v>
      </c>
      <c r="X183" s="536">
        <v>26.405027444248198</v>
      </c>
      <c r="Y183" s="536">
        <v>22.655051498362798</v>
      </c>
      <c r="Z183" s="536">
        <v>23.348330583155004</v>
      </c>
      <c r="AA183" s="536">
        <v>26.149066997390999</v>
      </c>
      <c r="AB183" s="536">
        <v>29.087021302040501</v>
      </c>
      <c r="AC183" s="536">
        <v>30.3479477667561</v>
      </c>
      <c r="AD183" s="536">
        <v>32.658028060578005</v>
      </c>
      <c r="AE183" s="536">
        <v>35.657745536496002</v>
      </c>
      <c r="AF183" s="536">
        <v>36.455749747848003</v>
      </c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</row>
    <row r="184" spans="1:48">
      <c r="A184" s="17">
        <v>2</v>
      </c>
      <c r="B184" s="17" t="s">
        <v>0</v>
      </c>
      <c r="C184" s="536">
        <v>5719.1710000000003</v>
      </c>
      <c r="D184" s="536">
        <v>5856.7439999999997</v>
      </c>
      <c r="E184" s="536">
        <v>5778.4920000000002</v>
      </c>
      <c r="F184" s="536">
        <v>6061.9409999999998</v>
      </c>
      <c r="G184" s="536">
        <v>6502.8410000000003</v>
      </c>
      <c r="H184" s="536">
        <v>6778.9459999999999</v>
      </c>
      <c r="I184" s="536">
        <v>7016.3519999999999</v>
      </c>
      <c r="J184" s="536">
        <v>7246.77</v>
      </c>
      <c r="K184" s="536">
        <v>7531.5619999999999</v>
      </c>
      <c r="L184" s="536">
        <v>7786.5280000000002</v>
      </c>
      <c r="M184" s="536">
        <v>7924.0910000000003</v>
      </c>
      <c r="N184" s="536">
        <v>7897.1091774683873</v>
      </c>
      <c r="O184" s="536">
        <v>8164.3351300311324</v>
      </c>
      <c r="P184" s="536">
        <v>8397.0047133898661</v>
      </c>
      <c r="Q184" s="536">
        <v>8750.8744263541703</v>
      </c>
      <c r="R184" s="536">
        <v>8973.7878724772145</v>
      </c>
      <c r="S184" s="536">
        <v>9318.8799158087804</v>
      </c>
      <c r="T184" s="536">
        <v>9758.0168486768052</v>
      </c>
      <c r="U184" s="536">
        <v>10185.616423108386</v>
      </c>
      <c r="V184" s="536">
        <v>10652.22516432128</v>
      </c>
      <c r="W184" s="536">
        <v>11049.78413217703</v>
      </c>
      <c r="X184" s="536">
        <v>11106.921001918296</v>
      </c>
      <c r="Y184" s="536">
        <v>11268.689196345767</v>
      </c>
      <c r="Z184" s="536">
        <v>11552.949627793416</v>
      </c>
      <c r="AA184" s="536">
        <v>11988.514313381111</v>
      </c>
      <c r="AB184" s="536">
        <v>12579.800000153218</v>
      </c>
      <c r="AC184" s="536">
        <v>12916.653360756138</v>
      </c>
      <c r="AD184" s="536">
        <v>13178.27953925528</v>
      </c>
      <c r="AE184" s="536">
        <v>13191.828107074998</v>
      </c>
      <c r="AF184" s="536">
        <v>12632.395766002186</v>
      </c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</row>
    <row r="185" spans="1:48">
      <c r="A185" s="17">
        <v>704</v>
      </c>
      <c r="B185" s="17" t="s">
        <v>152</v>
      </c>
      <c r="C185" s="536"/>
      <c r="D185" s="536"/>
      <c r="E185" s="536"/>
      <c r="F185" s="536"/>
      <c r="G185" s="536"/>
      <c r="H185" s="536"/>
      <c r="I185" s="536"/>
      <c r="J185" s="536"/>
      <c r="K185" s="536"/>
      <c r="L185" s="536"/>
      <c r="M185" s="536">
        <v>38.405679999999997</v>
      </c>
      <c r="N185" s="536">
        <v>37.518488870740683</v>
      </c>
      <c r="O185" s="536">
        <v>33.350825671875569</v>
      </c>
      <c r="P185" s="536">
        <v>33.142290735801268</v>
      </c>
      <c r="Q185" s="536">
        <v>30.831135532730965</v>
      </c>
      <c r="R185" s="536">
        <v>30.898812852279846</v>
      </c>
      <c r="S185" s="536">
        <v>31.333747425224967</v>
      </c>
      <c r="T185" s="536">
        <v>32.631514869346219</v>
      </c>
      <c r="U185" s="536">
        <v>34.091595875647371</v>
      </c>
      <c r="V185" s="536">
        <v>35.573254051739674</v>
      </c>
      <c r="W185" s="536">
        <v>36.646526862444404</v>
      </c>
      <c r="X185" s="536">
        <v>37.947615029108</v>
      </c>
      <c r="Y185" s="536">
        <v>39.802695808761605</v>
      </c>
      <c r="Z185" s="536">
        <v>41.549366044799996</v>
      </c>
      <c r="AA185" s="536">
        <v>44.762053239736801</v>
      </c>
      <c r="AB185" s="536">
        <v>47.817873500909997</v>
      </c>
      <c r="AC185" s="536">
        <v>51.623277249376002</v>
      </c>
      <c r="AD185" s="536">
        <v>56.377914050038108</v>
      </c>
      <c r="AE185" s="536">
        <v>61.368699387078003</v>
      </c>
      <c r="AF185" s="536">
        <v>65.804334059563203</v>
      </c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</row>
    <row r="186" spans="1:48">
      <c r="A186" s="17">
        <v>935</v>
      </c>
      <c r="B186" s="17" t="s">
        <v>180</v>
      </c>
      <c r="C186" s="536">
        <v>0.4546539</v>
      </c>
      <c r="D186" s="536">
        <v>0.47358129999999998</v>
      </c>
      <c r="E186" s="536">
        <v>0.52384869999999994</v>
      </c>
      <c r="F186" s="536">
        <v>0.65757429999999994</v>
      </c>
      <c r="G186" s="536">
        <v>0.6910172</v>
      </c>
      <c r="H186" s="536">
        <v>0.6804656</v>
      </c>
      <c r="I186" s="536">
        <v>0.720858</v>
      </c>
      <c r="J186" s="536">
        <v>0.65416549999999996</v>
      </c>
      <c r="K186" s="536">
        <v>0.65448689999999998</v>
      </c>
      <c r="L186" s="536">
        <v>0.6883859</v>
      </c>
      <c r="M186" s="536">
        <v>0.72135380000000004</v>
      </c>
      <c r="N186" s="536">
        <v>0.77869574857454027</v>
      </c>
      <c r="O186" s="536">
        <v>0.84135145515730159</v>
      </c>
      <c r="P186" s="536">
        <v>0.88105170179368986</v>
      </c>
      <c r="Q186" s="536">
        <v>0.89694039471362474</v>
      </c>
      <c r="R186" s="536">
        <v>0.95183643282935593</v>
      </c>
      <c r="S186" s="536">
        <v>0.95001292535463666</v>
      </c>
      <c r="T186" s="536">
        <v>0.99220243929473795</v>
      </c>
      <c r="U186" s="536">
        <v>1.0250810601927167</v>
      </c>
      <c r="V186" s="536">
        <v>1.0092045897575761</v>
      </c>
      <c r="W186" s="536">
        <v>1.0500986344009999</v>
      </c>
      <c r="X186" s="536">
        <v>1.0067727326548999</v>
      </c>
      <c r="Y186" s="536">
        <v>0.93058773152240004</v>
      </c>
      <c r="Z186" s="536">
        <v>0.94544044305999997</v>
      </c>
      <c r="AA186" s="536">
        <v>0.99933027446139988</v>
      </c>
      <c r="AB186" s="536">
        <v>1.1029774712964</v>
      </c>
      <c r="AC186" s="536">
        <v>1.1778356472772999</v>
      </c>
      <c r="AD186" s="536">
        <v>1.2811131483880001</v>
      </c>
      <c r="AE186" s="536">
        <v>1.3643006383030001</v>
      </c>
      <c r="AF186" s="536">
        <v>1.4302840827492</v>
      </c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  <row r="187" spans="1:48">
      <c r="A187" s="17">
        <v>101</v>
      </c>
      <c r="B187" s="17" t="s">
        <v>24</v>
      </c>
      <c r="C187" s="536">
        <v>142.655</v>
      </c>
      <c r="D187" s="536">
        <v>141.89179999999999</v>
      </c>
      <c r="E187" s="536">
        <v>139.38140000000001</v>
      </c>
      <c r="F187" s="536">
        <v>129.23410000000001</v>
      </c>
      <c r="G187" s="536">
        <v>134.547</v>
      </c>
      <c r="H187" s="536">
        <v>134.47720000000001</v>
      </c>
      <c r="I187" s="536">
        <v>143.40600000000001</v>
      </c>
      <c r="J187" s="536">
        <v>148.60939999999999</v>
      </c>
      <c r="K187" s="536">
        <v>158.2208</v>
      </c>
      <c r="L187" s="536">
        <v>142.0196</v>
      </c>
      <c r="M187" s="536">
        <v>151.38650000000001</v>
      </c>
      <c r="N187" s="536">
        <v>167.55996168605884</v>
      </c>
      <c r="O187" s="536">
        <v>179.41153959256113</v>
      </c>
      <c r="P187" s="536">
        <v>180.64466084986711</v>
      </c>
      <c r="Q187" s="536">
        <v>176.20524995661106</v>
      </c>
      <c r="R187" s="536">
        <v>185.39240081624436</v>
      </c>
      <c r="S187" s="536">
        <v>185.86031905147007</v>
      </c>
      <c r="T187" s="536">
        <v>200.7350961014769</v>
      </c>
      <c r="U187" s="536">
        <v>203.63700072795717</v>
      </c>
      <c r="V187" s="536">
        <v>189.77155676387568</v>
      </c>
      <c r="W187" s="536">
        <v>198.11230863110879</v>
      </c>
      <c r="X187" s="536">
        <v>201.95507431249919</v>
      </c>
      <c r="Y187" s="536">
        <v>186.3618938929055</v>
      </c>
      <c r="Z187" s="536">
        <v>170.784077556196</v>
      </c>
      <c r="AA187" s="536">
        <v>200.01278781060512</v>
      </c>
      <c r="AB187" s="536">
        <v>219.27796255771557</v>
      </c>
      <c r="AC187" s="536">
        <v>236.35725327306557</v>
      </c>
      <c r="AD187" s="536">
        <v>252.14239769539051</v>
      </c>
      <c r="AE187" s="536">
        <v>261.8285465612625</v>
      </c>
      <c r="AF187" s="536">
        <v>248.07314325620462</v>
      </c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</row>
    <row r="188" spans="1:48">
      <c r="A188" s="17">
        <v>990</v>
      </c>
      <c r="B188" s="17" t="s">
        <v>190</v>
      </c>
      <c r="C188" s="536">
        <v>0.75085170000000001</v>
      </c>
      <c r="D188" s="536">
        <v>0.68311569999999999</v>
      </c>
      <c r="E188" s="536">
        <v>0.68462990000000001</v>
      </c>
      <c r="F188" s="536">
        <v>0.67198239999999998</v>
      </c>
      <c r="G188" s="536">
        <v>0.68668960000000001</v>
      </c>
      <c r="H188" s="536">
        <v>0.71479539999999997</v>
      </c>
      <c r="I188" s="536">
        <v>0.75567969999999995</v>
      </c>
      <c r="J188" s="536">
        <v>0.76098030000000005</v>
      </c>
      <c r="K188" s="536">
        <v>0.75069249999999998</v>
      </c>
      <c r="L188" s="536">
        <v>0.80686820000000004</v>
      </c>
      <c r="M188" s="536">
        <v>0.76961550000000001</v>
      </c>
      <c r="N188" s="536">
        <v>0.74600154268160002</v>
      </c>
      <c r="O188" s="536">
        <v>0.75226684041300007</v>
      </c>
      <c r="P188" s="536">
        <v>0.78592091331120006</v>
      </c>
      <c r="Q188" s="536">
        <v>0.75809293176110004</v>
      </c>
      <c r="R188" s="536">
        <v>0.80184616959589994</v>
      </c>
      <c r="S188" s="536">
        <v>0.86105566859900007</v>
      </c>
      <c r="T188" s="536">
        <v>0.86218086099680002</v>
      </c>
      <c r="U188" s="536">
        <v>0.88790643163889993</v>
      </c>
      <c r="V188" s="536">
        <v>0.91177989857499997</v>
      </c>
      <c r="W188" s="536">
        <v>0.97721089611199996</v>
      </c>
      <c r="X188" s="536">
        <v>1.0536123448882</v>
      </c>
      <c r="Y188" s="536">
        <v>1.0720290018051</v>
      </c>
      <c r="Z188" s="536">
        <v>1.1033168507204001</v>
      </c>
      <c r="AA188" s="536">
        <v>1.1389341630329999</v>
      </c>
      <c r="AB188" s="536">
        <v>1.2261404205824</v>
      </c>
      <c r="AC188" s="536">
        <v>1.2375717132947999</v>
      </c>
      <c r="AD188" s="536">
        <v>1.3161668930520001</v>
      </c>
      <c r="AE188" s="536">
        <v>1.2749850361720001</v>
      </c>
      <c r="AF188" s="536">
        <v>1.2504899409185</v>
      </c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</row>
    <row r="189" spans="1:48">
      <c r="A189" s="22">
        <v>679</v>
      </c>
      <c r="B189" s="22" t="s">
        <v>142</v>
      </c>
      <c r="C189" s="536"/>
      <c r="D189" s="536"/>
      <c r="E189" s="536"/>
      <c r="F189" s="536"/>
      <c r="G189" s="536"/>
      <c r="H189" s="536"/>
      <c r="I189" s="536"/>
      <c r="J189" s="536"/>
      <c r="K189" s="536"/>
      <c r="L189" s="536">
        <v>15.57816</v>
      </c>
      <c r="M189" s="536">
        <v>17.97052</v>
      </c>
      <c r="N189" s="536">
        <v>18.291275824070699</v>
      </c>
      <c r="O189" s="536">
        <v>19.711664824423842</v>
      </c>
      <c r="P189" s="536">
        <v>20.265559395824084</v>
      </c>
      <c r="Q189" s="536">
        <v>20.939980498611451</v>
      </c>
      <c r="R189" s="536">
        <v>24.620200451343734</v>
      </c>
      <c r="S189" s="536">
        <v>30.138953072916191</v>
      </c>
      <c r="T189" s="536">
        <v>31.945585761311243</v>
      </c>
      <c r="U189" s="536">
        <v>33.360323492463657</v>
      </c>
      <c r="V189" s="536">
        <v>34.465920609106853</v>
      </c>
      <c r="W189" s="536">
        <v>36.954701541968596</v>
      </c>
      <c r="X189" s="536">
        <v>38.237293109709299</v>
      </c>
      <c r="Y189" s="536">
        <v>39.506681117653208</v>
      </c>
      <c r="Z189" s="536">
        <v>41.339118392407805</v>
      </c>
      <c r="AA189" s="536">
        <v>42.982081710539397</v>
      </c>
      <c r="AB189" s="536">
        <v>49.247125611605995</v>
      </c>
      <c r="AC189" s="536">
        <v>49.901133864788505</v>
      </c>
      <c r="AD189" s="536">
        <v>52.2731145048066</v>
      </c>
      <c r="AE189" s="536">
        <v>53.948021414665497</v>
      </c>
      <c r="AF189" s="536">
        <v>54.890709325555406</v>
      </c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</row>
    <row r="190" spans="1:48">
      <c r="A190" s="22">
        <v>345</v>
      </c>
      <c r="B190" s="22" t="s">
        <v>59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536">
        <v>54.713035064691049</v>
      </c>
      <c r="AC190" s="536">
        <v>57.67757901470813</v>
      </c>
      <c r="AD190" s="536">
        <v>61.336177884535751</v>
      </c>
      <c r="AE190" s="536">
        <v>64.712369598076208</v>
      </c>
      <c r="AF190" s="536">
        <v>62.955948041517502</v>
      </c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</row>
    <row r="191" spans="1:48">
      <c r="A191" s="22">
        <v>551</v>
      </c>
      <c r="B191" s="22" t="s">
        <v>116</v>
      </c>
      <c r="C191" s="536">
        <v>9.4608629999999998</v>
      </c>
      <c r="D191" s="536">
        <v>9.8927669999999992</v>
      </c>
      <c r="E191" s="536">
        <v>8.6173760000000001</v>
      </c>
      <c r="F191" s="536">
        <v>8.1979670000000002</v>
      </c>
      <c r="G191" s="536">
        <v>8.3166659999999997</v>
      </c>
      <c r="H191" s="536">
        <v>8.8189080000000004</v>
      </c>
      <c r="I191" s="536">
        <v>8.9498610000000003</v>
      </c>
      <c r="J191" s="536">
        <v>9.3979800000000004</v>
      </c>
      <c r="K191" s="536">
        <v>9.8355580000000007</v>
      </c>
      <c r="L191" s="536">
        <v>9.5580479999999994</v>
      </c>
      <c r="M191" s="536">
        <v>9.6428689999999992</v>
      </c>
      <c r="N191" s="536">
        <v>9.8252751216314334</v>
      </c>
      <c r="O191" s="536">
        <v>9.4235611927558942</v>
      </c>
      <c r="P191" s="536">
        <v>8.7204069079169049</v>
      </c>
      <c r="Q191" s="536">
        <v>8.4150634191473301</v>
      </c>
      <c r="R191" s="536">
        <v>8.2115714887116056</v>
      </c>
      <c r="S191" s="536">
        <v>8.3184506702125134</v>
      </c>
      <c r="T191" s="536">
        <v>8.5661680845688775</v>
      </c>
      <c r="U191" s="536">
        <v>8.4842774410088602</v>
      </c>
      <c r="V191" s="536">
        <v>8.5455211643013147</v>
      </c>
      <c r="W191" s="536">
        <v>8.5886513604932979</v>
      </c>
      <c r="X191" s="536">
        <v>8.6348042500753195</v>
      </c>
      <c r="Y191" s="536">
        <v>9.4226683196207688</v>
      </c>
      <c r="Z191" s="536">
        <v>10.17643002267036</v>
      </c>
      <c r="AA191" s="536">
        <v>15.691451807191198</v>
      </c>
      <c r="AB191" s="536">
        <v>16.348403777649999</v>
      </c>
      <c r="AC191" s="536">
        <v>17.675510020262202</v>
      </c>
      <c r="AD191" s="536">
        <v>22.149392743062201</v>
      </c>
      <c r="AE191" s="536">
        <v>23.533171590900398</v>
      </c>
      <c r="AF191" s="536">
        <v>23.050020083501099</v>
      </c>
      <c r="AG191" s="26"/>
    </row>
    <row r="192" spans="1:48">
      <c r="A192" s="22">
        <v>552</v>
      </c>
      <c r="B192" s="22" t="s">
        <v>117</v>
      </c>
      <c r="C192" s="536">
        <v>1.660514</v>
      </c>
      <c r="D192" s="536">
        <v>2.027145</v>
      </c>
      <c r="E192" s="536">
        <v>1.9594119999999999</v>
      </c>
      <c r="F192" s="536">
        <v>2.1158399999999999</v>
      </c>
      <c r="G192" s="536">
        <v>1.755058</v>
      </c>
      <c r="H192" s="536">
        <v>1.817839</v>
      </c>
      <c r="I192" s="536">
        <v>1.8144089999999999</v>
      </c>
      <c r="J192" s="536">
        <v>1.7471639999999999</v>
      </c>
      <c r="K192" s="536">
        <v>1.9580120000000001</v>
      </c>
      <c r="L192" s="536">
        <v>2.3262299999999998</v>
      </c>
      <c r="M192" s="536">
        <v>2.4417179999999998</v>
      </c>
      <c r="N192" s="536">
        <v>2.8147311214980362</v>
      </c>
      <c r="O192" s="536">
        <v>2.2835922647852707</v>
      </c>
      <c r="P192" s="536">
        <v>2.3264420232239642</v>
      </c>
      <c r="Q192" s="536">
        <v>2.4962146522965418</v>
      </c>
      <c r="R192" s="536">
        <v>2.5971568760452377</v>
      </c>
      <c r="S192" s="536">
        <v>2.8560309492740439</v>
      </c>
      <c r="T192" s="536">
        <v>3.1009547627731733</v>
      </c>
      <c r="U192" s="536">
        <v>3.1504411259936353</v>
      </c>
      <c r="V192" s="536">
        <v>2.982121256032038</v>
      </c>
      <c r="W192" s="536">
        <v>2.8345827129886261</v>
      </c>
      <c r="X192" s="536">
        <v>2.5848617997423462</v>
      </c>
      <c r="Y192" s="536">
        <v>2.3497378352107607</v>
      </c>
      <c r="Z192" s="536">
        <v>2.2830647527961903</v>
      </c>
      <c r="AA192" s="536">
        <v>2.1659405043578608</v>
      </c>
      <c r="AB192" s="536">
        <v>1.9682059614454941</v>
      </c>
      <c r="AC192" s="536">
        <v>1.9724050594596789</v>
      </c>
      <c r="AD192" s="536">
        <v>1.8159924676815211</v>
      </c>
      <c r="AE192" s="536">
        <v>1.5441749298235001</v>
      </c>
      <c r="AF192" s="536">
        <v>1.6231644605072302</v>
      </c>
      <c r="AG192" s="26"/>
    </row>
    <row r="193" spans="1:27">
      <c r="A193" s="16"/>
      <c r="AA193" s="24"/>
    </row>
    <row r="194" spans="1:27">
      <c r="AA194" s="24"/>
    </row>
    <row r="195" spans="1:27">
      <c r="AA195" s="24"/>
    </row>
    <row r="198" spans="1:27">
      <c r="B198" s="25"/>
    </row>
    <row r="199" spans="1:27">
      <c r="B199" s="25"/>
    </row>
    <row r="200" spans="1:27">
      <c r="B200" s="25"/>
    </row>
    <row r="201" spans="1:27">
      <c r="B201" s="25"/>
    </row>
    <row r="202" spans="1:27">
      <c r="B202" s="25"/>
    </row>
    <row r="203" spans="1:27">
      <c r="B203" s="25"/>
    </row>
    <row r="204" spans="1:27">
      <c r="B204" s="25"/>
    </row>
    <row r="205" spans="1:27">
      <c r="B205" s="25"/>
    </row>
    <row r="206" spans="1:27">
      <c r="B206" s="25"/>
    </row>
    <row r="207" spans="1:27">
      <c r="B207" s="25"/>
    </row>
    <row r="208" spans="1:27">
      <c r="B208" s="25"/>
    </row>
    <row r="209" spans="2:2">
      <c r="B209" s="25"/>
    </row>
    <row r="210" spans="2:2">
      <c r="B210" s="25"/>
    </row>
    <row r="211" spans="2:2">
      <c r="B211" s="25"/>
    </row>
    <row r="212" spans="2:2">
      <c r="B212" s="25"/>
    </row>
    <row r="213" spans="2:2">
      <c r="B213" s="25"/>
    </row>
    <row r="214" spans="2:2">
      <c r="B214" s="25"/>
    </row>
    <row r="215" spans="2:2">
      <c r="B215" s="25"/>
    </row>
  </sheetData>
  <sortState ref="A6:AF192">
    <sortCondition ref="B6:B192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2"/>
  <sheetViews>
    <sheetView zoomScaleNormal="100" workbookViewId="0">
      <selection activeCell="M10" sqref="M10"/>
    </sheetView>
  </sheetViews>
  <sheetFormatPr defaultRowHeight="15"/>
  <cols>
    <col min="1" max="2" width="9.140625" style="31"/>
    <col min="3" max="13" width="9.140625" style="534"/>
  </cols>
  <sheetData>
    <row r="1" spans="1:48">
      <c r="A1" s="12" t="s">
        <v>433</v>
      </c>
    </row>
    <row r="2" spans="1:48">
      <c r="A2" s="1" t="s">
        <v>401</v>
      </c>
    </row>
    <row r="3" spans="1:48">
      <c r="A3" s="31" t="s">
        <v>421</v>
      </c>
    </row>
    <row r="5" spans="1:48" s="31" customFormat="1">
      <c r="A5" s="22" t="s">
        <v>191</v>
      </c>
      <c r="B5" s="22" t="s">
        <v>192</v>
      </c>
      <c r="C5" s="22">
        <v>1980</v>
      </c>
      <c r="D5" s="22">
        <v>1981</v>
      </c>
      <c r="E5" s="22">
        <v>1982</v>
      </c>
      <c r="F5" s="22">
        <v>1983</v>
      </c>
      <c r="G5" s="22">
        <v>1984</v>
      </c>
      <c r="H5" s="22">
        <v>1985</v>
      </c>
      <c r="I5" s="22">
        <v>1986</v>
      </c>
      <c r="J5" s="22">
        <v>1987</v>
      </c>
      <c r="K5" s="22">
        <v>1988</v>
      </c>
      <c r="L5" s="22">
        <v>1989</v>
      </c>
      <c r="M5" s="22">
        <v>1990</v>
      </c>
      <c r="N5" s="11">
        <v>1991</v>
      </c>
      <c r="O5" s="11">
        <v>1992</v>
      </c>
      <c r="P5" s="11">
        <v>1993</v>
      </c>
      <c r="Q5" s="11">
        <v>1994</v>
      </c>
      <c r="R5" s="11">
        <v>1995</v>
      </c>
      <c r="S5" s="11">
        <v>1996</v>
      </c>
      <c r="T5" s="11">
        <v>1997</v>
      </c>
      <c r="U5" s="11">
        <v>1998</v>
      </c>
      <c r="V5" s="11">
        <v>1999</v>
      </c>
      <c r="W5" s="11">
        <v>2000</v>
      </c>
      <c r="X5" s="11">
        <v>2001</v>
      </c>
      <c r="Y5" s="11">
        <v>2002</v>
      </c>
      <c r="Z5" s="11">
        <v>2003</v>
      </c>
      <c r="AA5" s="11">
        <v>2004</v>
      </c>
      <c r="AB5" s="11">
        <v>2005</v>
      </c>
      <c r="AC5" s="11">
        <v>2006</v>
      </c>
      <c r="AD5" s="11">
        <v>2007</v>
      </c>
      <c r="AE5" s="11">
        <v>2008</v>
      </c>
      <c r="AF5" s="11">
        <v>2009</v>
      </c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</row>
    <row r="6" spans="1:48">
      <c r="A6" s="22">
        <v>58</v>
      </c>
      <c r="B6" s="22" t="s">
        <v>13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48">
      <c r="A7" s="22">
        <v>700</v>
      </c>
      <c r="B7" s="22" t="s">
        <v>148</v>
      </c>
      <c r="C7" s="534">
        <v>5.9045740000000002</v>
      </c>
      <c r="D7" s="534">
        <v>6.5982479999999999</v>
      </c>
      <c r="E7" s="534">
        <v>7.0892590000000002</v>
      </c>
      <c r="F7" s="534">
        <v>7.7078220000000002</v>
      </c>
      <c r="G7" s="534">
        <v>8.1398499999999991</v>
      </c>
      <c r="H7" s="534">
        <v>8.391311</v>
      </c>
      <c r="I7" s="534">
        <v>8.8307040000000008</v>
      </c>
      <c r="J7" s="534">
        <v>8.1622249999999994</v>
      </c>
      <c r="K7" s="534">
        <v>7.7451970000000001</v>
      </c>
      <c r="L7" s="534">
        <v>7.4709009999999996</v>
      </c>
      <c r="M7" s="534">
        <v>7.5334459999999996</v>
      </c>
      <c r="N7" s="534">
        <v>7.2010129999999997</v>
      </c>
      <c r="O7" s="534">
        <v>7.6798229999999998</v>
      </c>
      <c r="P7" s="534">
        <v>6.0224830000000003</v>
      </c>
      <c r="Q7" s="534">
        <v>4.8909099999999999</v>
      </c>
      <c r="R7" s="534">
        <v>7.6404040000000002</v>
      </c>
      <c r="S7" s="534">
        <v>7.5417829999999997</v>
      </c>
      <c r="T7" s="534">
        <v>7.4207580000000002</v>
      </c>
      <c r="U7" s="534">
        <v>7.2030390000000004</v>
      </c>
      <c r="V7" s="534">
        <v>7.0537289999999997</v>
      </c>
      <c r="W7" s="534">
        <v>6.9750420000000002</v>
      </c>
      <c r="X7" s="534">
        <v>6.8604960000000004</v>
      </c>
      <c r="Y7" s="534">
        <v>12.418990000000001</v>
      </c>
      <c r="Z7" s="534">
        <v>14.68934</v>
      </c>
      <c r="AA7" s="534">
        <v>16.629169999999998</v>
      </c>
      <c r="AB7" s="534">
        <v>19.947040000000001</v>
      </c>
      <c r="AC7" s="534">
        <v>22.669789999999999</v>
      </c>
      <c r="AD7" s="534">
        <v>26.017379999999999</v>
      </c>
      <c r="AE7" s="534">
        <v>27.867439999999998</v>
      </c>
      <c r="AF7" s="534">
        <v>33.570259999999998</v>
      </c>
    </row>
    <row r="8" spans="1:48">
      <c r="A8" s="22">
        <v>339</v>
      </c>
      <c r="B8" s="22" t="s">
        <v>56</v>
      </c>
      <c r="C8" s="534">
        <v>3.7378170000000002</v>
      </c>
      <c r="D8" s="534">
        <v>4.235322</v>
      </c>
      <c r="E8" s="534">
        <v>4.4869159999999999</v>
      </c>
      <c r="F8" s="534">
        <v>4.8049169999999997</v>
      </c>
      <c r="G8" s="534">
        <v>5.0025570000000004</v>
      </c>
      <c r="H8" s="534">
        <v>5.1829190000000001</v>
      </c>
      <c r="I8" s="534">
        <v>5.642061</v>
      </c>
      <c r="J8" s="534">
        <v>5.9068129999999996</v>
      </c>
      <c r="K8" s="534">
        <v>5.9614929999999999</v>
      </c>
      <c r="L8" s="534">
        <v>6.7419710000000004</v>
      </c>
      <c r="M8" s="534">
        <v>6.94109</v>
      </c>
      <c r="N8" s="534">
        <v>5.0084879999999998</v>
      </c>
      <c r="O8" s="534">
        <v>4.1450399999999998</v>
      </c>
      <c r="P8" s="534">
        <v>5.0296529999999997</v>
      </c>
      <c r="Q8" s="534">
        <v>5.9988250000000001</v>
      </c>
      <c r="R8" s="534">
        <v>6.7715940000000003</v>
      </c>
      <c r="S8" s="534">
        <v>8.2690140000000003</v>
      </c>
      <c r="T8" s="534">
        <v>7.0278539999999996</v>
      </c>
      <c r="U8" s="534">
        <v>8.0076909999999994</v>
      </c>
      <c r="V8" s="534">
        <v>9.1896649999999998</v>
      </c>
      <c r="W8" s="534">
        <v>9.7933330000000005</v>
      </c>
      <c r="X8" s="534">
        <v>10.441179999999999</v>
      </c>
      <c r="Y8" s="534">
        <v>10.881869999999999</v>
      </c>
      <c r="Z8" s="534">
        <v>12.252940000000001</v>
      </c>
      <c r="AA8" s="534">
        <v>13.86642</v>
      </c>
      <c r="AB8" s="534">
        <v>15.21707</v>
      </c>
      <c r="AC8" s="534">
        <v>16.926200000000001</v>
      </c>
      <c r="AD8" s="534">
        <v>18.882819999999999</v>
      </c>
      <c r="AE8" s="534">
        <v>20.64105</v>
      </c>
      <c r="AF8" s="534">
        <v>21.515529999999998</v>
      </c>
    </row>
    <row r="9" spans="1:48">
      <c r="A9" s="22">
        <v>615</v>
      </c>
      <c r="B9" s="22" t="s">
        <v>129</v>
      </c>
      <c r="C9" s="534">
        <v>50.665089999999999</v>
      </c>
      <c r="D9" s="534">
        <v>59.514099999999999</v>
      </c>
      <c r="E9" s="534">
        <v>62.978189999999998</v>
      </c>
      <c r="F9" s="534">
        <v>68.54504</v>
      </c>
      <c r="G9" s="534">
        <v>74.531260000000003</v>
      </c>
      <c r="H9" s="534">
        <v>81.019149999999996</v>
      </c>
      <c r="I9" s="534">
        <v>71.884069999999994</v>
      </c>
      <c r="J9" s="534">
        <v>69.521940000000001</v>
      </c>
      <c r="K9" s="534">
        <v>65.837289999999996</v>
      </c>
      <c r="L9" s="534">
        <v>70.731080000000006</v>
      </c>
      <c r="M9" s="534">
        <v>76.639960000000002</v>
      </c>
      <c r="N9" s="534">
        <v>80.537090000000006</v>
      </c>
      <c r="O9" s="534">
        <v>79.62621</v>
      </c>
      <c r="P9" s="534">
        <v>76.031850000000006</v>
      </c>
      <c r="Q9" s="534">
        <v>76.154300000000006</v>
      </c>
      <c r="R9" s="534">
        <v>80.464879999999994</v>
      </c>
      <c r="S9" s="534">
        <v>89.682010000000005</v>
      </c>
      <c r="T9" s="534">
        <v>90.836070000000007</v>
      </c>
      <c r="U9" s="534">
        <v>90.440600000000003</v>
      </c>
      <c r="V9" s="534">
        <v>98.145449999999997</v>
      </c>
      <c r="W9" s="534">
        <v>119.06270000000001</v>
      </c>
      <c r="X9" s="534">
        <v>119.9218</v>
      </c>
      <c r="Y9" s="534">
        <v>124.8065</v>
      </c>
      <c r="Z9" s="534">
        <v>141.24379999999999</v>
      </c>
      <c r="AA9" s="534">
        <v>157.0308</v>
      </c>
      <c r="AB9" s="534">
        <v>192.02930000000001</v>
      </c>
      <c r="AC9" s="534">
        <v>217.1568</v>
      </c>
      <c r="AD9" s="534">
        <v>224.63300000000001</v>
      </c>
      <c r="AE9" s="534">
        <v>232.99289999999999</v>
      </c>
      <c r="AF9" s="534">
        <v>205.08539999999999</v>
      </c>
    </row>
    <row r="10" spans="1:48">
      <c r="A10" s="22">
        <v>540</v>
      </c>
      <c r="B10" s="22" t="s">
        <v>114</v>
      </c>
      <c r="C10" s="534">
        <v>8.0683629999999997</v>
      </c>
      <c r="D10" s="534">
        <v>8.5657189999999996</v>
      </c>
      <c r="E10" s="534">
        <v>9.1522830000000006</v>
      </c>
      <c r="F10" s="534">
        <v>9.7996359999999996</v>
      </c>
      <c r="G10" s="534">
        <v>11.173730000000001</v>
      </c>
      <c r="H10" s="534">
        <v>12.07668</v>
      </c>
      <c r="I10" s="534">
        <v>11.153549999999999</v>
      </c>
      <c r="J10" s="534">
        <v>13.06593</v>
      </c>
      <c r="K10" s="534">
        <v>13.4839</v>
      </c>
      <c r="L10" s="534">
        <v>14.319229999999999</v>
      </c>
      <c r="M10" s="534">
        <v>15.686019999999999</v>
      </c>
      <c r="N10" s="534">
        <v>16.09599</v>
      </c>
      <c r="O10" s="534">
        <v>16.253440000000001</v>
      </c>
      <c r="P10" s="534">
        <v>12.159509999999999</v>
      </c>
      <c r="Q10" s="534">
        <v>12.910259999999999</v>
      </c>
      <c r="R10" s="534">
        <v>15.393380000000001</v>
      </c>
      <c r="S10" s="534">
        <v>18.615939999999998</v>
      </c>
      <c r="T10" s="534">
        <v>19.998249999999999</v>
      </c>
      <c r="U10" s="534">
        <v>19.11523</v>
      </c>
      <c r="V10" s="534">
        <v>21.331759999999999</v>
      </c>
      <c r="W10" s="534">
        <v>21.827770000000001</v>
      </c>
      <c r="X10" s="534">
        <v>20.821200000000001</v>
      </c>
      <c r="Y10" s="534">
        <v>24.7789</v>
      </c>
      <c r="Z10" s="534">
        <v>25.73254</v>
      </c>
      <c r="AA10" s="534">
        <v>29.019459999999999</v>
      </c>
      <c r="AB10" s="534">
        <v>36.387439999999998</v>
      </c>
      <c r="AC10" s="534">
        <v>46.033360000000002</v>
      </c>
      <c r="AD10" s="534">
        <v>57.90128</v>
      </c>
      <c r="AE10" s="534">
        <v>68.087280000000007</v>
      </c>
      <c r="AF10" s="534">
        <v>68.024019999999993</v>
      </c>
    </row>
    <row r="11" spans="1:48">
      <c r="A11" s="22">
        <v>160</v>
      </c>
      <c r="B11" s="22" t="s">
        <v>33</v>
      </c>
      <c r="C11" s="534">
        <v>122.9888</v>
      </c>
      <c r="D11" s="534">
        <v>126.7007</v>
      </c>
      <c r="E11" s="534">
        <v>126.2077</v>
      </c>
      <c r="F11" s="534">
        <v>136.20060000000001</v>
      </c>
      <c r="G11" s="534">
        <v>144.07509999999999</v>
      </c>
      <c r="H11" s="534">
        <v>137.78049999999999</v>
      </c>
      <c r="I11" s="534">
        <v>149.47730000000001</v>
      </c>
      <c r="J11" s="534">
        <v>157.56989999999999</v>
      </c>
      <c r="K11" s="534">
        <v>161.2552</v>
      </c>
      <c r="L11" s="534">
        <v>156.2405</v>
      </c>
      <c r="M11" s="534">
        <v>157.46639999999999</v>
      </c>
      <c r="N11" s="534">
        <v>182.7089</v>
      </c>
      <c r="O11" s="534">
        <v>211.57400000000001</v>
      </c>
      <c r="P11" s="534">
        <v>231.95660000000001</v>
      </c>
      <c r="Q11" s="534">
        <v>250.65180000000001</v>
      </c>
      <c r="R11" s="534">
        <v>247.76589999999999</v>
      </c>
      <c r="S11" s="534">
        <v>268.05599999999998</v>
      </c>
      <c r="T11" s="534">
        <v>293.56450000000001</v>
      </c>
      <c r="U11" s="534">
        <v>305.42750000000001</v>
      </c>
      <c r="V11" s="534">
        <v>296.92189999999999</v>
      </c>
      <c r="W11" s="534">
        <v>303.88060000000002</v>
      </c>
      <c r="X11" s="534">
        <v>296.32350000000002</v>
      </c>
      <c r="Y11" s="534">
        <v>288.1173</v>
      </c>
      <c r="Z11" s="534">
        <v>314.45119999999997</v>
      </c>
      <c r="AA11" s="534">
        <v>349.27429999999998</v>
      </c>
      <c r="AB11" s="534">
        <v>390.82260000000002</v>
      </c>
      <c r="AC11" s="534">
        <v>441.60309999999998</v>
      </c>
      <c r="AD11" s="534">
        <v>494.41570000000002</v>
      </c>
      <c r="AE11" s="534">
        <v>553.08969999999999</v>
      </c>
      <c r="AF11" s="534">
        <v>556.9443</v>
      </c>
    </row>
    <row r="12" spans="1:48">
      <c r="A12" s="22">
        <v>371</v>
      </c>
      <c r="B12" s="22" t="s">
        <v>73</v>
      </c>
      <c r="N12" s="534"/>
      <c r="O12" s="534"/>
      <c r="P12" s="534">
        <v>4.0298829999999999</v>
      </c>
      <c r="Q12" s="534">
        <v>4.3253430000000002</v>
      </c>
      <c r="R12" s="534">
        <v>4.444242</v>
      </c>
      <c r="S12" s="534">
        <v>4.9155430000000004</v>
      </c>
      <c r="T12" s="534">
        <v>5.0276709999999998</v>
      </c>
      <c r="U12" s="534">
        <v>5.4762719999999998</v>
      </c>
      <c r="V12" s="534">
        <v>5.8179499999999997</v>
      </c>
      <c r="W12" s="534">
        <v>6.5192199999999998</v>
      </c>
      <c r="X12" s="534">
        <v>7.6462529999999997</v>
      </c>
      <c r="Y12" s="534">
        <v>8.7692949999999996</v>
      </c>
      <c r="Z12" s="534">
        <v>9.8420389999999998</v>
      </c>
      <c r="AA12" s="534">
        <v>11.51066</v>
      </c>
      <c r="AB12" s="534">
        <v>13.547370000000001</v>
      </c>
      <c r="AC12" s="534">
        <v>15.64404</v>
      </c>
      <c r="AD12" s="534">
        <v>17.760490000000001</v>
      </c>
      <c r="AE12" s="534">
        <v>18.656790000000001</v>
      </c>
      <c r="AF12" s="534">
        <v>16.747520000000002</v>
      </c>
    </row>
    <row r="13" spans="1:48">
      <c r="A13" s="22">
        <v>900</v>
      </c>
      <c r="B13" s="22" t="s">
        <v>177</v>
      </c>
      <c r="C13" s="534">
        <v>152.33000000000001</v>
      </c>
      <c r="D13" s="534">
        <v>171.71530000000001</v>
      </c>
      <c r="E13" s="534">
        <v>178.38630000000001</v>
      </c>
      <c r="F13" s="534">
        <v>193.82579999999999</v>
      </c>
      <c r="G13" s="534">
        <v>210.32759999999999</v>
      </c>
      <c r="H13" s="534">
        <v>223.5916</v>
      </c>
      <c r="I13" s="534">
        <v>233.42830000000001</v>
      </c>
      <c r="J13" s="534">
        <v>254.3511</v>
      </c>
      <c r="K13" s="534">
        <v>275.2278</v>
      </c>
      <c r="L13" s="534">
        <v>296.94069999999999</v>
      </c>
      <c r="M13" s="534">
        <v>305.7602</v>
      </c>
      <c r="N13" s="534">
        <v>317.68540000000002</v>
      </c>
      <c r="O13" s="534">
        <v>332.62920000000003</v>
      </c>
      <c r="P13" s="534">
        <v>349.54739999999998</v>
      </c>
      <c r="Q13" s="534">
        <v>373.6465</v>
      </c>
      <c r="R13" s="534">
        <v>399.46839999999997</v>
      </c>
      <c r="S13" s="534">
        <v>424.14519999999999</v>
      </c>
      <c r="T13" s="534">
        <v>448.79109999999997</v>
      </c>
      <c r="U13" s="534">
        <v>469.65129999999999</v>
      </c>
      <c r="V13" s="534">
        <v>501.19670000000002</v>
      </c>
      <c r="W13" s="534">
        <v>525.91</v>
      </c>
      <c r="X13" s="534">
        <v>560.36410000000001</v>
      </c>
      <c r="Y13" s="534">
        <v>592.43330000000003</v>
      </c>
      <c r="Z13" s="534">
        <v>641.0222</v>
      </c>
      <c r="AA13" s="534">
        <v>691.03589999999997</v>
      </c>
      <c r="AB13" s="534">
        <v>776.6617</v>
      </c>
      <c r="AC13" s="534">
        <v>845.40790000000004</v>
      </c>
      <c r="AD13" s="534">
        <v>917.63639999999998</v>
      </c>
      <c r="AE13" s="534">
        <v>982.27470000000005</v>
      </c>
      <c r="AF13" s="534">
        <v>1011.3920000000001</v>
      </c>
    </row>
    <row r="14" spans="1:48">
      <c r="A14" s="22">
        <v>305</v>
      </c>
      <c r="B14" s="22" t="s">
        <v>49</v>
      </c>
      <c r="C14" s="534">
        <v>82.157899999999998</v>
      </c>
      <c r="D14" s="534">
        <v>89.817449999999994</v>
      </c>
      <c r="E14" s="534">
        <v>97.040999999999997</v>
      </c>
      <c r="F14" s="534">
        <v>102.91759999999999</v>
      </c>
      <c r="G14" s="534">
        <v>107.50320000000001</v>
      </c>
      <c r="H14" s="534">
        <v>114.0853</v>
      </c>
      <c r="I14" s="534">
        <v>119.0789</v>
      </c>
      <c r="J14" s="534">
        <v>125.056</v>
      </c>
      <c r="K14" s="534">
        <v>134.32499999999999</v>
      </c>
      <c r="L14" s="534">
        <v>145.20419999999999</v>
      </c>
      <c r="M14" s="534">
        <v>158.20330000000001</v>
      </c>
      <c r="N14" s="534">
        <v>168.44370000000001</v>
      </c>
      <c r="O14" s="534">
        <v>175.89340000000001</v>
      </c>
      <c r="P14" s="534">
        <v>180.18119999999999</v>
      </c>
      <c r="Q14" s="534">
        <v>187.49520000000001</v>
      </c>
      <c r="R14" s="534">
        <v>196.1182</v>
      </c>
      <c r="S14" s="534">
        <v>202.75389999999999</v>
      </c>
      <c r="T14" s="534">
        <v>209.3031</v>
      </c>
      <c r="U14" s="534">
        <v>217.77619999999999</v>
      </c>
      <c r="V14" s="534">
        <v>227.8955</v>
      </c>
      <c r="W14" s="534">
        <v>240.19929999999999</v>
      </c>
      <c r="X14" s="534">
        <v>248.02029999999999</v>
      </c>
      <c r="Y14" s="534">
        <v>255.02860000000001</v>
      </c>
      <c r="Z14" s="534">
        <v>263.27699999999999</v>
      </c>
      <c r="AA14" s="534">
        <v>278.31299999999999</v>
      </c>
      <c r="AB14" s="534">
        <v>291.63240000000002</v>
      </c>
      <c r="AC14" s="534">
        <v>311.69080000000002</v>
      </c>
      <c r="AD14" s="534">
        <v>332.12</v>
      </c>
      <c r="AE14" s="534">
        <v>348.3784</v>
      </c>
      <c r="AF14" s="534">
        <v>337.12329999999997</v>
      </c>
    </row>
    <row r="15" spans="1:48">
      <c r="A15" s="22">
        <v>373</v>
      </c>
      <c r="B15" s="22" t="s">
        <v>75</v>
      </c>
      <c r="N15" s="534"/>
      <c r="O15" s="534"/>
      <c r="P15" s="534">
        <v>17.518560000000001</v>
      </c>
      <c r="Q15" s="534">
        <v>14.881869999999999</v>
      </c>
      <c r="R15" s="534">
        <v>13.137510000000001</v>
      </c>
      <c r="S15" s="534">
        <v>13.191700000000001</v>
      </c>
      <c r="T15" s="534">
        <v>13.65339</v>
      </c>
      <c r="U15" s="534">
        <v>15.27284</v>
      </c>
      <c r="V15" s="534">
        <v>17.90625</v>
      </c>
      <c r="W15" s="534">
        <v>19.897580000000001</v>
      </c>
      <c r="X15" s="534">
        <v>21.82124</v>
      </c>
      <c r="Y15" s="534">
        <v>24.231380000000001</v>
      </c>
      <c r="Z15" s="534">
        <v>26.314139999999998</v>
      </c>
      <c r="AA15" s="534">
        <v>29.512440000000002</v>
      </c>
      <c r="AB15" s="534">
        <v>38.170749999999998</v>
      </c>
      <c r="AC15" s="534">
        <v>53.123539999999998</v>
      </c>
      <c r="AD15" s="534">
        <v>70.713669999999993</v>
      </c>
      <c r="AE15" s="534">
        <v>80.821600000000004</v>
      </c>
      <c r="AF15" s="32">
        <v>90.223151999999999</v>
      </c>
    </row>
    <row r="16" spans="1:48">
      <c r="A16" s="22">
        <v>692</v>
      </c>
      <c r="B16" s="22" t="s">
        <v>144</v>
      </c>
      <c r="C16" s="534">
        <v>4.9316430000000002</v>
      </c>
      <c r="D16" s="534">
        <v>5.0231219999999999</v>
      </c>
      <c r="E16" s="534">
        <v>4.8243470000000004</v>
      </c>
      <c r="F16" s="534">
        <v>5.3929169999999997</v>
      </c>
      <c r="G16" s="534">
        <v>6.3007309999999999</v>
      </c>
      <c r="H16" s="534">
        <v>4.4909720000000002</v>
      </c>
      <c r="I16" s="534">
        <v>4.3420719999999999</v>
      </c>
      <c r="J16" s="534">
        <v>4.3537189999999999</v>
      </c>
      <c r="K16" s="534">
        <v>5.2572320000000001</v>
      </c>
      <c r="L16" s="534">
        <v>5.9589239999999997</v>
      </c>
      <c r="M16" s="534">
        <v>6.4731620000000003</v>
      </c>
      <c r="N16" s="534">
        <v>7.2831919999999997</v>
      </c>
      <c r="O16" s="534">
        <v>8.0980129999999999</v>
      </c>
      <c r="P16" s="534">
        <v>7.4116540000000004</v>
      </c>
      <c r="Q16" s="534">
        <v>8.7838309999999993</v>
      </c>
      <c r="R16" s="534">
        <v>8.1336119999999994</v>
      </c>
      <c r="S16" s="534">
        <v>8.3829480000000007</v>
      </c>
      <c r="T16" s="534">
        <v>8.8073060000000005</v>
      </c>
      <c r="U16" s="534">
        <v>8.8540939999999999</v>
      </c>
      <c r="V16" s="534">
        <v>8.8237380000000005</v>
      </c>
      <c r="W16" s="534">
        <v>11.04017</v>
      </c>
      <c r="X16" s="534">
        <v>11.13447</v>
      </c>
      <c r="Y16" s="534">
        <v>13.299580000000001</v>
      </c>
      <c r="Z16" s="534">
        <v>14.8857</v>
      </c>
      <c r="AA16" s="534">
        <v>16.926380000000002</v>
      </c>
      <c r="AB16" s="534">
        <v>20.501539999999999</v>
      </c>
      <c r="AC16" s="534">
        <v>24.98433</v>
      </c>
      <c r="AD16" s="534">
        <v>29.015619999999998</v>
      </c>
      <c r="AE16" s="534">
        <v>31.441279999999999</v>
      </c>
      <c r="AF16" s="534">
        <v>28.240159999999999</v>
      </c>
    </row>
    <row r="17" spans="1:32">
      <c r="A17" s="22">
        <v>53</v>
      </c>
      <c r="B17" s="22" t="s">
        <v>8</v>
      </c>
      <c r="C17" s="534">
        <v>2.5851999999999999</v>
      </c>
      <c r="D17" s="534">
        <v>2.8139639999999999</v>
      </c>
      <c r="E17" s="534">
        <v>2.7580230000000001</v>
      </c>
      <c r="F17" s="534">
        <v>2.8309799999999998</v>
      </c>
      <c r="G17" s="534">
        <v>2.9954489999999998</v>
      </c>
      <c r="H17" s="534">
        <v>3.1515939999999998</v>
      </c>
      <c r="I17" s="534">
        <v>3.3487459999999998</v>
      </c>
      <c r="J17" s="534">
        <v>3.5242659999999999</v>
      </c>
      <c r="K17" s="534">
        <v>3.812246</v>
      </c>
      <c r="L17" s="534">
        <v>4.1496430000000002</v>
      </c>
      <c r="M17" s="534">
        <v>4.198626</v>
      </c>
      <c r="N17" s="534">
        <v>4.1008170000000002</v>
      </c>
      <c r="O17" s="534">
        <v>3.6457670000000002</v>
      </c>
      <c r="P17" s="534">
        <v>3.8554430000000002</v>
      </c>
      <c r="Q17" s="534">
        <v>4.0768750000000002</v>
      </c>
      <c r="R17" s="534">
        <v>4.4158429999999997</v>
      </c>
      <c r="S17" s="534">
        <v>4.7398170000000004</v>
      </c>
      <c r="T17" s="534">
        <v>5.0460520000000004</v>
      </c>
      <c r="U17" s="534">
        <v>5.4408940000000001</v>
      </c>
      <c r="V17" s="534">
        <v>5.5310069999999998</v>
      </c>
      <c r="W17" s="534">
        <v>5.640371</v>
      </c>
      <c r="X17" s="534">
        <v>5.8779589999999997</v>
      </c>
      <c r="Y17" s="534">
        <v>5.5883570000000002</v>
      </c>
      <c r="Z17" s="534">
        <v>5.7099799999999998</v>
      </c>
      <c r="AA17" s="534">
        <v>6.1156329999999999</v>
      </c>
      <c r="AB17" s="534">
        <v>6.5437099999999999</v>
      </c>
      <c r="AC17" s="534">
        <v>6.9581670000000004</v>
      </c>
      <c r="AD17" s="534">
        <v>7.7255380000000002</v>
      </c>
      <c r="AE17" s="534">
        <v>8.0175260000000002</v>
      </c>
      <c r="AF17" s="534">
        <v>7.2333819999999998</v>
      </c>
    </row>
    <row r="18" spans="1:32">
      <c r="A18" s="22">
        <v>211</v>
      </c>
      <c r="B18" s="22" t="s">
        <v>38</v>
      </c>
      <c r="C18" s="534">
        <v>103.0728</v>
      </c>
      <c r="D18" s="534">
        <v>108.6801</v>
      </c>
      <c r="E18" s="534">
        <v>114.5894</v>
      </c>
      <c r="F18" s="534">
        <v>118.7409</v>
      </c>
      <c r="G18" s="534">
        <v>126.4902</v>
      </c>
      <c r="H18" s="534">
        <v>132.9777</v>
      </c>
      <c r="I18" s="534">
        <v>141.98599999999999</v>
      </c>
      <c r="J18" s="534">
        <v>150.99529999999999</v>
      </c>
      <c r="K18" s="534">
        <v>165.8484</v>
      </c>
      <c r="L18" s="534">
        <v>180.0813</v>
      </c>
      <c r="M18" s="534">
        <v>193.4734</v>
      </c>
      <c r="N18" s="534">
        <v>203.17740000000001</v>
      </c>
      <c r="O18" s="534">
        <v>212.46690000000001</v>
      </c>
      <c r="P18" s="534">
        <v>215.9203</v>
      </c>
      <c r="Q18" s="534">
        <v>227.58449999999999</v>
      </c>
      <c r="R18" s="534">
        <v>237.15440000000001</v>
      </c>
      <c r="S18" s="534">
        <v>242.0189</v>
      </c>
      <c r="T18" s="534">
        <v>254.72569999999999</v>
      </c>
      <c r="U18" s="534">
        <v>261.41820000000001</v>
      </c>
      <c r="V18" s="534">
        <v>272.89260000000002</v>
      </c>
      <c r="W18" s="534">
        <v>286.66849999999999</v>
      </c>
      <c r="X18" s="534">
        <v>294.53629999999998</v>
      </c>
      <c r="Y18" s="534">
        <v>305.67689999999999</v>
      </c>
      <c r="Z18" s="534">
        <v>313.63959999999997</v>
      </c>
      <c r="AA18" s="534">
        <v>331.57089999999999</v>
      </c>
      <c r="AB18" s="534">
        <v>349.48579999999998</v>
      </c>
      <c r="AC18" s="534">
        <v>370.44929999999999</v>
      </c>
      <c r="AD18" s="534">
        <v>394.26339999999999</v>
      </c>
      <c r="AE18" s="534">
        <v>404.67180000000002</v>
      </c>
      <c r="AF18" s="534">
        <v>401.76769999999999</v>
      </c>
    </row>
    <row r="19" spans="1:32">
      <c r="A19" s="22">
        <v>434</v>
      </c>
      <c r="B19" s="22" t="s">
        <v>88</v>
      </c>
      <c r="C19" s="534">
        <v>1.7082170000000001</v>
      </c>
      <c r="D19" s="534">
        <v>1.926607</v>
      </c>
      <c r="E19" s="534">
        <v>2.4721440000000001</v>
      </c>
      <c r="F19" s="534">
        <v>2.3734130000000002</v>
      </c>
      <c r="G19" s="534">
        <v>2.6216210000000002</v>
      </c>
      <c r="H19" s="534">
        <v>2.9282889999999999</v>
      </c>
      <c r="I19" s="534">
        <v>3.0468039999999998</v>
      </c>
      <c r="J19" s="534">
        <v>3.0911249999999999</v>
      </c>
      <c r="K19" s="534">
        <v>3.2940860000000001</v>
      </c>
      <c r="L19" s="534">
        <v>3.3593839999999999</v>
      </c>
      <c r="M19" s="534">
        <v>3.711579</v>
      </c>
      <c r="N19" s="534">
        <v>4.0626600000000002</v>
      </c>
      <c r="O19" s="534">
        <v>4.2478490000000004</v>
      </c>
      <c r="P19" s="534">
        <v>4.5253370000000004</v>
      </c>
      <c r="Q19" s="534">
        <v>4.389456</v>
      </c>
      <c r="R19" s="534">
        <v>5.0805540000000002</v>
      </c>
      <c r="S19" s="534">
        <v>5.4501429999999997</v>
      </c>
      <c r="T19" s="534">
        <v>5.8524789999999998</v>
      </c>
      <c r="U19" s="534">
        <v>6.0194419999999997</v>
      </c>
      <c r="V19" s="534">
        <v>6.4869380000000003</v>
      </c>
      <c r="W19" s="534">
        <v>7.0156029999999996</v>
      </c>
      <c r="X19" s="534">
        <v>7.3958440000000003</v>
      </c>
      <c r="Y19" s="534">
        <v>7.7768920000000001</v>
      </c>
      <c r="Z19" s="534">
        <v>8.4227170000000005</v>
      </c>
      <c r="AA19" s="534">
        <v>8.9293230000000001</v>
      </c>
      <c r="AB19" s="534">
        <v>9.2590789999999998</v>
      </c>
      <c r="AC19" s="534">
        <v>10.09662</v>
      </c>
      <c r="AD19" s="534">
        <v>11.02028</v>
      </c>
      <c r="AE19" s="534">
        <v>10.21753</v>
      </c>
      <c r="AF19" s="534">
        <v>10.75131</v>
      </c>
    </row>
    <row r="20" spans="1:32">
      <c r="A20" s="22">
        <v>439</v>
      </c>
      <c r="B20" s="22" t="s">
        <v>93</v>
      </c>
      <c r="C20" s="534">
        <v>2.350387</v>
      </c>
      <c r="D20" s="534">
        <v>2.743687</v>
      </c>
      <c r="E20" s="534">
        <v>2.896204</v>
      </c>
      <c r="F20" s="534">
        <v>2.8153920000000001</v>
      </c>
      <c r="G20" s="534">
        <v>2.8591419999999999</v>
      </c>
      <c r="H20" s="534">
        <v>3.2736679999999998</v>
      </c>
      <c r="I20" s="534">
        <v>3.7079930000000001</v>
      </c>
      <c r="J20" s="534">
        <v>3.8375089999999998</v>
      </c>
      <c r="K20" s="534">
        <v>4.1198699999999997</v>
      </c>
      <c r="L20" s="534">
        <v>4.2945529999999996</v>
      </c>
      <c r="M20" s="534">
        <v>4.6152749999999996</v>
      </c>
      <c r="N20" s="534">
        <v>5.0810380000000004</v>
      </c>
      <c r="O20" s="534">
        <v>5.2913480000000002</v>
      </c>
      <c r="P20" s="534">
        <v>5.6164610000000001</v>
      </c>
      <c r="Q20" s="534">
        <v>5.2416010000000002</v>
      </c>
      <c r="R20" s="534">
        <v>5.6881339999999998</v>
      </c>
      <c r="S20" s="534">
        <v>6.3738279999999996</v>
      </c>
      <c r="T20" s="534">
        <v>6.8630500000000003</v>
      </c>
      <c r="U20" s="534">
        <v>7.5116160000000001</v>
      </c>
      <c r="V20" s="534">
        <v>7.9844220000000004</v>
      </c>
      <c r="W20" s="534">
        <v>8.2704550000000001</v>
      </c>
      <c r="X20" s="534">
        <v>9.0135609999999993</v>
      </c>
      <c r="Y20" s="534">
        <v>9.5626440000000006</v>
      </c>
      <c r="Z20" s="534">
        <v>10.54894</v>
      </c>
      <c r="AA20" s="534">
        <v>11.43741</v>
      </c>
      <c r="AB20" s="534">
        <v>12.098409999999999</v>
      </c>
      <c r="AC20" s="534">
        <v>13.21321</v>
      </c>
      <c r="AD20" s="534">
        <v>13.975020000000001</v>
      </c>
      <c r="AE20" s="534">
        <v>14.72575</v>
      </c>
      <c r="AF20" s="534">
        <v>16.102329999999998</v>
      </c>
    </row>
    <row r="21" spans="1:32">
      <c r="A21" s="22">
        <v>31</v>
      </c>
      <c r="B21" s="22" t="s">
        <v>2</v>
      </c>
      <c r="C21" s="534">
        <v>2.0743100000000001</v>
      </c>
      <c r="D21" s="534">
        <v>2.0911170000000001</v>
      </c>
      <c r="E21" s="534">
        <v>2.1344479999999999</v>
      </c>
      <c r="F21" s="534">
        <v>2.1846930000000002</v>
      </c>
      <c r="G21" s="534">
        <v>2.58378</v>
      </c>
      <c r="H21" s="534">
        <v>3.0187080000000002</v>
      </c>
      <c r="I21" s="534">
        <v>3.16533</v>
      </c>
      <c r="J21" s="534">
        <v>3.316459</v>
      </c>
      <c r="K21" s="534">
        <v>3.5063230000000001</v>
      </c>
      <c r="L21" s="534">
        <v>3.8572690000000001</v>
      </c>
      <c r="M21" s="534">
        <v>3.9750760000000001</v>
      </c>
      <c r="N21" s="534">
        <v>3.9038680000000001</v>
      </c>
      <c r="O21" s="534">
        <v>3.8701409999999998</v>
      </c>
      <c r="P21" s="534">
        <v>3.803302</v>
      </c>
      <c r="Q21" s="534">
        <v>4.0347869999999997</v>
      </c>
      <c r="R21" s="534">
        <v>4.2583349999999998</v>
      </c>
      <c r="S21" s="534">
        <v>4.5163260000000003</v>
      </c>
      <c r="T21" s="534">
        <v>4.7088580000000002</v>
      </c>
      <c r="U21" s="534">
        <v>5.2028160000000003</v>
      </c>
      <c r="V21" s="534">
        <v>5.7549809999999999</v>
      </c>
      <c r="W21" s="534">
        <v>6.1151799999999996</v>
      </c>
      <c r="X21" s="534">
        <v>6.2677259999999997</v>
      </c>
      <c r="Y21" s="534">
        <v>6.7604110000000004</v>
      </c>
      <c r="Z21" s="534">
        <v>6.8280909999999997</v>
      </c>
      <c r="AA21" s="534">
        <v>7.0684230000000001</v>
      </c>
      <c r="AB21" s="534">
        <v>8.1556080000000009</v>
      </c>
      <c r="AC21" s="534">
        <v>8.7231900000000007</v>
      </c>
      <c r="AD21" s="534">
        <v>9.2800589999999996</v>
      </c>
      <c r="AE21" s="534">
        <v>7.9558229999999996</v>
      </c>
      <c r="AF21" s="534">
        <v>8.4006919999999994</v>
      </c>
    </row>
    <row r="22" spans="1:32">
      <c r="A22" s="22">
        <v>760</v>
      </c>
      <c r="B22" s="22" t="s">
        <v>161</v>
      </c>
      <c r="C22" s="534">
        <v>0.19488610000000001</v>
      </c>
      <c r="D22" s="534">
        <v>0.2224476</v>
      </c>
      <c r="E22" s="534">
        <v>0.24974170000000001</v>
      </c>
      <c r="F22" s="534">
        <v>0.2796826</v>
      </c>
      <c r="G22" s="534">
        <v>0.31487969999999998</v>
      </c>
      <c r="H22" s="534">
        <v>0.3394952</v>
      </c>
      <c r="I22" s="534">
        <v>0.3935632</v>
      </c>
      <c r="J22" s="534">
        <v>0.57565860000000002</v>
      </c>
      <c r="K22" s="534">
        <v>0.59803309999999998</v>
      </c>
      <c r="L22" s="534">
        <v>0.69689710000000005</v>
      </c>
      <c r="M22" s="534">
        <v>0.7474073</v>
      </c>
      <c r="N22" s="534">
        <v>0.78213489999999997</v>
      </c>
      <c r="O22" s="534">
        <v>0.79013540000000004</v>
      </c>
      <c r="P22" s="534">
        <v>0.85724029999999996</v>
      </c>
      <c r="Q22" s="534">
        <v>0.93222590000000005</v>
      </c>
      <c r="R22" s="534">
        <v>1.0295879999999999</v>
      </c>
      <c r="S22" s="534">
        <v>1.0530759999999999</v>
      </c>
      <c r="T22" s="534">
        <v>1.1887749999999999</v>
      </c>
      <c r="U22" s="534">
        <v>1.2122839999999999</v>
      </c>
      <c r="V22" s="534">
        <v>1.399885</v>
      </c>
      <c r="W22" s="534">
        <v>1.4825520000000001</v>
      </c>
      <c r="X22" s="534">
        <v>1.9006050000000001</v>
      </c>
      <c r="Y22" s="534">
        <v>1.9495450000000001</v>
      </c>
      <c r="Z22" s="534">
        <v>2.0348730000000002</v>
      </c>
      <c r="AA22" s="534">
        <v>2.2130489999999998</v>
      </c>
      <c r="AB22" s="534">
        <v>2.3331249999999999</v>
      </c>
      <c r="AC22" s="534">
        <v>2.6341489999999999</v>
      </c>
      <c r="AD22" s="534">
        <v>2.945967</v>
      </c>
      <c r="AE22" s="534">
        <v>3.1641889999999999</v>
      </c>
      <c r="AF22" s="534">
        <v>3.1587329999999998</v>
      </c>
    </row>
    <row r="23" spans="1:32">
      <c r="A23" s="22">
        <v>370</v>
      </c>
      <c r="B23" s="22" t="s">
        <v>72</v>
      </c>
      <c r="N23" s="534"/>
      <c r="O23" s="534"/>
      <c r="P23" s="534"/>
      <c r="Q23" s="534">
        <v>34.718440000000001</v>
      </c>
      <c r="R23" s="534">
        <v>33.359499999999997</v>
      </c>
      <c r="S23" s="534">
        <v>35.059170000000002</v>
      </c>
      <c r="T23" s="534">
        <v>38.510280000000002</v>
      </c>
      <c r="U23" s="534">
        <v>43.099930000000001</v>
      </c>
      <c r="V23" s="534">
        <v>46.206969999999998</v>
      </c>
      <c r="W23" s="534">
        <v>50.502490000000002</v>
      </c>
      <c r="X23" s="534">
        <v>56.58999</v>
      </c>
      <c r="Y23" s="534">
        <v>61.790599999999998</v>
      </c>
      <c r="Z23" s="534">
        <v>68.020269999999996</v>
      </c>
      <c r="AA23" s="534">
        <v>75.148439999999994</v>
      </c>
      <c r="AB23" s="534">
        <v>92.273150000000001</v>
      </c>
      <c r="AC23" s="534">
        <v>103.6521</v>
      </c>
      <c r="AD23" s="534">
        <v>116.9174</v>
      </c>
      <c r="AE23" s="534">
        <v>139.79140000000001</v>
      </c>
      <c r="AF23" s="534">
        <v>135.65710000000001</v>
      </c>
    </row>
    <row r="24" spans="1:32">
      <c r="A24" s="22">
        <v>80</v>
      </c>
      <c r="B24" s="22" t="s">
        <v>16</v>
      </c>
      <c r="C24" s="534">
        <v>0.4101784</v>
      </c>
      <c r="D24" s="534">
        <v>0.46944029999999998</v>
      </c>
      <c r="E24" s="534">
        <v>0.4996389</v>
      </c>
      <c r="F24" s="534">
        <v>0.4965755</v>
      </c>
      <c r="G24" s="534">
        <v>0.50755269999999997</v>
      </c>
      <c r="H24" s="534">
        <v>0.50856460000000003</v>
      </c>
      <c r="I24" s="534">
        <v>0.54938920000000002</v>
      </c>
      <c r="J24" s="534">
        <v>0.62597950000000002</v>
      </c>
      <c r="K24" s="534">
        <v>0.70463980000000004</v>
      </c>
      <c r="L24" s="534">
        <v>0.82478770000000001</v>
      </c>
      <c r="M24" s="534">
        <v>0.95412280000000005</v>
      </c>
      <c r="N24" s="534">
        <v>1.011336</v>
      </c>
      <c r="O24" s="534">
        <v>1.076441</v>
      </c>
      <c r="P24" s="534">
        <v>1.1998340000000001</v>
      </c>
      <c r="Q24" s="534">
        <v>1.2902659999999999</v>
      </c>
      <c r="R24" s="534">
        <v>1.4469050000000001</v>
      </c>
      <c r="S24" s="534">
        <v>1.5241899999999999</v>
      </c>
      <c r="T24" s="534">
        <v>1.545102</v>
      </c>
      <c r="U24" s="534">
        <v>1.5998060000000001</v>
      </c>
      <c r="V24" s="534">
        <v>1.6833469999999999</v>
      </c>
      <c r="W24" s="534">
        <v>1.8513710000000001</v>
      </c>
      <c r="X24" s="534">
        <v>1.9690080000000001</v>
      </c>
      <c r="Y24" s="534">
        <v>2.23048</v>
      </c>
      <c r="Z24" s="534">
        <v>2.3009330000000001</v>
      </c>
      <c r="AA24" s="534">
        <v>2.463962</v>
      </c>
      <c r="AB24" s="534">
        <v>2.5389840000000001</v>
      </c>
      <c r="AC24" s="534">
        <v>2.7654200000000002</v>
      </c>
      <c r="AD24" s="534">
        <v>2.9591229999999999</v>
      </c>
      <c r="AE24" s="534">
        <v>3.1380210000000002</v>
      </c>
      <c r="AF24" s="534">
        <v>2.9478840000000002</v>
      </c>
    </row>
    <row r="25" spans="1:32">
      <c r="A25" s="22">
        <v>771</v>
      </c>
      <c r="B25" s="22" t="s">
        <v>163</v>
      </c>
      <c r="C25" s="534">
        <v>30.851109999999998</v>
      </c>
      <c r="D25" s="534">
        <v>33.7425</v>
      </c>
      <c r="E25" s="534">
        <v>36.115380000000002</v>
      </c>
      <c r="F25" s="534">
        <v>40.460140000000003</v>
      </c>
      <c r="G25" s="534">
        <v>44.024650000000001</v>
      </c>
      <c r="H25" s="534">
        <v>46.579700000000003</v>
      </c>
      <c r="I25" s="534">
        <v>48.678710000000002</v>
      </c>
      <c r="J25" s="534">
        <v>51.541379999999997</v>
      </c>
      <c r="K25" s="534">
        <v>57.762619999999998</v>
      </c>
      <c r="L25" s="534">
        <v>62.770040000000002</v>
      </c>
      <c r="M25" s="534">
        <v>67.352130000000002</v>
      </c>
      <c r="N25" s="534">
        <v>71.141099999999994</v>
      </c>
      <c r="O25" s="534">
        <v>75.425219999999996</v>
      </c>
      <c r="P25" s="534">
        <v>80.203450000000004</v>
      </c>
      <c r="Q25" s="534">
        <v>85.817819999999998</v>
      </c>
      <c r="R25" s="534">
        <v>89.990639999999999</v>
      </c>
      <c r="S25" s="534">
        <v>92.049350000000004</v>
      </c>
      <c r="T25" s="534">
        <v>100.0748</v>
      </c>
      <c r="U25" s="534">
        <v>105.5033</v>
      </c>
      <c r="V25" s="534">
        <v>109.72929999999999</v>
      </c>
      <c r="W25" s="534">
        <v>118.072</v>
      </c>
      <c r="X25" s="534">
        <v>125.68340000000001</v>
      </c>
      <c r="Y25" s="534">
        <v>137.6182</v>
      </c>
      <c r="Z25" s="534">
        <v>146.18549999999999</v>
      </c>
      <c r="AA25" s="534">
        <v>158.70910000000001</v>
      </c>
      <c r="AB25" s="534">
        <v>171.797</v>
      </c>
      <c r="AC25" s="534">
        <v>187.84379999999999</v>
      </c>
      <c r="AD25" s="534">
        <v>205.2801</v>
      </c>
      <c r="AE25" s="534">
        <v>218.2561</v>
      </c>
      <c r="AF25" s="534">
        <v>228.43520000000001</v>
      </c>
    </row>
    <row r="26" spans="1:32">
      <c r="A26" s="22">
        <v>145</v>
      </c>
      <c r="B26" s="22" t="s">
        <v>30</v>
      </c>
      <c r="C26" s="534">
        <v>9.2887009999999997</v>
      </c>
      <c r="D26" s="534">
        <v>10.21561</v>
      </c>
      <c r="E26" s="534">
        <v>10.62167</v>
      </c>
      <c r="F26" s="534">
        <v>10.55702</v>
      </c>
      <c r="G26" s="534">
        <v>11.40075</v>
      </c>
      <c r="H26" s="534">
        <v>12.111269999999999</v>
      </c>
      <c r="I26" s="534">
        <v>11.873239999999999</v>
      </c>
      <c r="J26" s="534">
        <v>12.21105</v>
      </c>
      <c r="K26" s="534">
        <v>11.473890000000001</v>
      </c>
      <c r="L26" s="534">
        <v>12.32005</v>
      </c>
      <c r="M26" s="534">
        <v>13.2834</v>
      </c>
      <c r="N26" s="534">
        <v>13.95734</v>
      </c>
      <c r="O26" s="534">
        <v>14.359360000000001</v>
      </c>
      <c r="P26" s="534">
        <v>15.024459999999999</v>
      </c>
      <c r="Q26" s="534">
        <v>16.079409999999999</v>
      </c>
      <c r="R26" s="534">
        <v>17.274229999999999</v>
      </c>
      <c r="S26" s="534">
        <v>18.45974</v>
      </c>
      <c r="T26" s="534">
        <v>19.578150000000001</v>
      </c>
      <c r="U26" s="534">
        <v>20.511189999999999</v>
      </c>
      <c r="V26" s="534">
        <v>21.04449</v>
      </c>
      <c r="W26" s="534">
        <v>21.975300000000001</v>
      </c>
      <c r="X26" s="534">
        <v>23.05688</v>
      </c>
      <c r="Y26" s="534">
        <v>24.200869999999998</v>
      </c>
      <c r="Z26" s="534">
        <v>26.15296</v>
      </c>
      <c r="AA26" s="534">
        <v>28.862719999999999</v>
      </c>
      <c r="AB26" s="534">
        <v>31.108529999999998</v>
      </c>
      <c r="AC26" s="534">
        <v>34.968989999999998</v>
      </c>
      <c r="AD26" s="534">
        <v>37.163519999999998</v>
      </c>
      <c r="AE26" s="534">
        <v>41.246949999999998</v>
      </c>
      <c r="AF26" s="534">
        <v>41.312660000000001</v>
      </c>
    </row>
    <row r="27" spans="1:32">
      <c r="A27" s="22">
        <v>346</v>
      </c>
      <c r="B27" s="22" t="s">
        <v>60</v>
      </c>
      <c r="M27" s="534">
        <v>5.7476909999999997</v>
      </c>
      <c r="N27" s="534">
        <v>5.3826419999999997</v>
      </c>
      <c r="O27" s="534">
        <v>5.1543979999999996</v>
      </c>
      <c r="P27" s="534">
        <v>5.1433400000000002</v>
      </c>
      <c r="Q27" s="534">
        <v>5.8324040000000004</v>
      </c>
      <c r="R27" s="534">
        <v>6.8922439999999998</v>
      </c>
      <c r="S27" s="534">
        <v>10.78045</v>
      </c>
      <c r="T27" s="534">
        <v>15.01937</v>
      </c>
      <c r="U27" s="534">
        <v>14.136329999999999</v>
      </c>
      <c r="V27" s="534">
        <v>15.737719999999999</v>
      </c>
      <c r="W27" s="534">
        <v>17.884370000000001</v>
      </c>
      <c r="X27" s="534">
        <v>16.76662</v>
      </c>
      <c r="Y27" s="534">
        <v>15.171530000000001</v>
      </c>
      <c r="Z27" s="534">
        <v>14.15737</v>
      </c>
      <c r="AA27" s="534">
        <v>20.032509999999998</v>
      </c>
      <c r="AB27" s="534">
        <v>22.073029999999999</v>
      </c>
      <c r="AC27" s="534">
        <v>25.13456</v>
      </c>
      <c r="AD27" s="534">
        <v>30.04815</v>
      </c>
      <c r="AE27" s="534">
        <v>34.593559999999997</v>
      </c>
      <c r="AF27" s="534">
        <v>36.433689999999999</v>
      </c>
    </row>
    <row r="28" spans="1:32">
      <c r="A28" s="22">
        <v>571</v>
      </c>
      <c r="B28" s="22" t="s">
        <v>122</v>
      </c>
      <c r="C28" s="534">
        <v>1.2720089999999999</v>
      </c>
      <c r="D28" s="534">
        <v>1.3511439999999999</v>
      </c>
      <c r="E28" s="534">
        <v>1.390644</v>
      </c>
      <c r="F28" s="534">
        <v>1.4376409999999999</v>
      </c>
      <c r="G28" s="534">
        <v>1.6257079999999999</v>
      </c>
      <c r="H28" s="534">
        <v>2.1252659999999999</v>
      </c>
      <c r="I28" s="534">
        <v>2.4972989999999999</v>
      </c>
      <c r="J28" s="534">
        <v>2.722127</v>
      </c>
      <c r="K28" s="534">
        <v>2.9694959999999999</v>
      </c>
      <c r="L28" s="534">
        <v>4.9183909999999997</v>
      </c>
      <c r="M28" s="534">
        <v>5.4094519999999999</v>
      </c>
      <c r="N28" s="534">
        <v>5.7567630000000003</v>
      </c>
      <c r="O28" s="534">
        <v>5.6833340000000003</v>
      </c>
      <c r="P28" s="534">
        <v>5.7289320000000004</v>
      </c>
      <c r="Q28" s="534">
        <v>6.2187700000000001</v>
      </c>
      <c r="R28" s="534">
        <v>6.3020009999999997</v>
      </c>
      <c r="S28" s="534">
        <v>6.6242130000000001</v>
      </c>
      <c r="T28" s="534">
        <v>8.8632779999999993</v>
      </c>
      <c r="U28" s="534">
        <v>9.552816</v>
      </c>
      <c r="V28" s="534">
        <v>11.423260000000001</v>
      </c>
      <c r="W28" s="534">
        <v>12.912089999999999</v>
      </c>
      <c r="X28" s="534">
        <v>12.764810000000001</v>
      </c>
      <c r="Y28" s="534">
        <v>14.16292</v>
      </c>
      <c r="Z28" s="534">
        <v>14.86397</v>
      </c>
      <c r="AA28" s="534">
        <v>16.912990000000001</v>
      </c>
      <c r="AB28" s="534">
        <v>17.124230000000001</v>
      </c>
      <c r="AC28" s="534">
        <v>18.892969999999998</v>
      </c>
      <c r="AD28" s="534">
        <v>20.042290000000001</v>
      </c>
      <c r="AE28" s="534">
        <v>23.114750000000001</v>
      </c>
      <c r="AF28" s="534">
        <v>19.319269999999999</v>
      </c>
    </row>
    <row r="29" spans="1:32">
      <c r="A29" s="22">
        <v>140</v>
      </c>
      <c r="B29" s="22" t="s">
        <v>29</v>
      </c>
      <c r="C29" s="534">
        <v>485.58940000000001</v>
      </c>
      <c r="D29" s="534">
        <v>497.94279999999998</v>
      </c>
      <c r="E29" s="534">
        <v>532.09410000000003</v>
      </c>
      <c r="F29" s="534">
        <v>532.23569999999995</v>
      </c>
      <c r="G29" s="534">
        <v>580.98559999999998</v>
      </c>
      <c r="H29" s="534">
        <v>618.43889999999999</v>
      </c>
      <c r="I29" s="534">
        <v>706.86300000000006</v>
      </c>
      <c r="J29" s="534">
        <v>743.08669999999995</v>
      </c>
      <c r="K29" s="534">
        <v>766.17570000000001</v>
      </c>
      <c r="L29" s="534">
        <v>788.20100000000002</v>
      </c>
      <c r="M29" s="534">
        <v>792.6499</v>
      </c>
      <c r="N29" s="534">
        <v>827.82259999999997</v>
      </c>
      <c r="O29" s="534">
        <v>846.85450000000003</v>
      </c>
      <c r="P29" s="534">
        <v>904.01840000000004</v>
      </c>
      <c r="Q29" s="534">
        <v>975.83759999999995</v>
      </c>
      <c r="R29" s="534">
        <v>1041.1880000000001</v>
      </c>
      <c r="S29" s="534">
        <v>1085.4960000000001</v>
      </c>
      <c r="T29" s="534">
        <v>1138.9469999999999</v>
      </c>
      <c r="U29" s="534">
        <v>1147.8219999999999</v>
      </c>
      <c r="V29" s="534">
        <v>1142.42</v>
      </c>
      <c r="W29" s="534">
        <v>1209.4970000000001</v>
      </c>
      <c r="X29" s="534">
        <v>1255.431</v>
      </c>
      <c r="Y29" s="534">
        <v>1321.8969999999999</v>
      </c>
      <c r="Z29" s="534">
        <v>1345.277</v>
      </c>
      <c r="AA29" s="534">
        <v>1476.971</v>
      </c>
      <c r="AB29" s="534">
        <v>1578.0820000000001</v>
      </c>
      <c r="AC29" s="534">
        <v>1714.479</v>
      </c>
      <c r="AD29" s="534">
        <v>1885.925</v>
      </c>
      <c r="AE29" s="534">
        <v>2058.7420000000002</v>
      </c>
      <c r="AF29" s="534">
        <v>2090.9659999999999</v>
      </c>
    </row>
    <row r="30" spans="1:32">
      <c r="A30" s="22">
        <v>835</v>
      </c>
      <c r="B30" s="22" t="s">
        <v>174</v>
      </c>
      <c r="C30" s="534">
        <v>5.2061640000000002</v>
      </c>
      <c r="D30" s="534">
        <v>4.9150479999999996</v>
      </c>
      <c r="E30" s="534">
        <v>5.168031</v>
      </c>
      <c r="F30" s="534">
        <v>5.2949359999999999</v>
      </c>
      <c r="G30" s="534">
        <v>5.8327429999999998</v>
      </c>
      <c r="H30" s="534">
        <v>5.7891050000000002</v>
      </c>
      <c r="I30" s="534">
        <v>5.6006710000000002</v>
      </c>
      <c r="J30" s="534">
        <v>5.7778080000000003</v>
      </c>
      <c r="K30" s="534">
        <v>5.9286810000000001</v>
      </c>
      <c r="L30" s="534">
        <v>5.9822629999999997</v>
      </c>
      <c r="M30" s="534">
        <v>6.2953859999999997</v>
      </c>
      <c r="N30" s="534">
        <v>6.7459519999999999</v>
      </c>
      <c r="O30" s="534">
        <v>6.724723</v>
      </c>
      <c r="P30" s="534">
        <v>6.881697</v>
      </c>
      <c r="Q30" s="534">
        <v>7.1706909999999997</v>
      </c>
      <c r="R30" s="534">
        <v>7.5830830000000002</v>
      </c>
      <c r="S30" s="534">
        <v>8.0549999999999997</v>
      </c>
      <c r="T30" s="534">
        <v>8.6806889999999992</v>
      </c>
      <c r="U30" s="534">
        <v>7.5271359999999996</v>
      </c>
      <c r="V30" s="534">
        <v>8.3554569999999995</v>
      </c>
      <c r="W30" s="534">
        <v>10.9147</v>
      </c>
      <c r="X30" s="534">
        <v>11.43885</v>
      </c>
      <c r="Y30" s="534">
        <v>11.86777</v>
      </c>
      <c r="Z30" s="534">
        <v>13.186070000000001</v>
      </c>
      <c r="AA30" s="534">
        <v>15.404780000000001</v>
      </c>
      <c r="AB30" s="534">
        <v>18.05808</v>
      </c>
      <c r="AC30" s="534">
        <v>21.500610000000002</v>
      </c>
      <c r="AD30" s="534">
        <v>22.10181</v>
      </c>
      <c r="AE30" s="534">
        <v>27.698180000000001</v>
      </c>
      <c r="AF30" s="534">
        <v>24.187799999999999</v>
      </c>
    </row>
    <row r="31" spans="1:32">
      <c r="A31" s="22">
        <v>516</v>
      </c>
      <c r="B31" s="22" t="s">
        <v>108</v>
      </c>
      <c r="C31" s="534">
        <v>0.82275949999999998</v>
      </c>
      <c r="D31" s="534">
        <v>0.96021570000000001</v>
      </c>
      <c r="E31" s="534">
        <v>1.008678</v>
      </c>
      <c r="F31" s="534">
        <v>1.1089629999999999</v>
      </c>
      <c r="G31" s="534">
        <v>1.1700550000000001</v>
      </c>
      <c r="H31" s="534">
        <v>1.3313299999999999</v>
      </c>
      <c r="I31" s="534">
        <v>1.4197</v>
      </c>
      <c r="J31" s="534">
        <v>1.4366049999999999</v>
      </c>
      <c r="K31" s="534">
        <v>1.5989660000000001</v>
      </c>
      <c r="L31" s="534">
        <v>1.633</v>
      </c>
      <c r="M31" s="534">
        <v>1.7781389999999999</v>
      </c>
      <c r="N31" s="534">
        <v>1.936296</v>
      </c>
      <c r="O31" s="534">
        <v>2.0236710000000002</v>
      </c>
      <c r="P31" s="534">
        <v>1.8679600000000001</v>
      </c>
      <c r="Q31" s="534">
        <v>1.857213</v>
      </c>
      <c r="R31" s="534">
        <v>1.765854</v>
      </c>
      <c r="S31" s="534">
        <v>1.653988</v>
      </c>
      <c r="T31" s="534">
        <v>2.1736</v>
      </c>
      <c r="U31" s="534">
        <v>2.3266650000000002</v>
      </c>
      <c r="V31" s="534">
        <v>2.3244210000000001</v>
      </c>
      <c r="W31" s="534">
        <v>2.371254</v>
      </c>
      <c r="X31" s="534">
        <v>2.4646379999999999</v>
      </c>
      <c r="Y31" s="534">
        <v>2.633013</v>
      </c>
      <c r="Z31" s="534">
        <v>2.654855</v>
      </c>
      <c r="AA31" s="534">
        <v>2.8440400000000001</v>
      </c>
      <c r="AB31" s="534">
        <v>3.0079899999999999</v>
      </c>
      <c r="AC31" s="534">
        <v>3.291042</v>
      </c>
      <c r="AD31" s="534">
        <v>3.4909479999999999</v>
      </c>
      <c r="AE31" s="534">
        <v>3.74478</v>
      </c>
      <c r="AF31" s="534">
        <v>3.906533</v>
      </c>
    </row>
    <row r="32" spans="1:32">
      <c r="A32" s="22">
        <v>355</v>
      </c>
      <c r="B32" s="22" t="s">
        <v>64</v>
      </c>
      <c r="C32" s="534">
        <v>21.794509999999999</v>
      </c>
      <c r="D32" s="534">
        <v>24.932379999999998</v>
      </c>
      <c r="E32" s="534">
        <v>26.937709999999999</v>
      </c>
      <c r="F32" s="534">
        <v>28.885809999999999</v>
      </c>
      <c r="G32" s="534">
        <v>30.99278</v>
      </c>
      <c r="H32" s="534">
        <v>32.826920000000001</v>
      </c>
      <c r="I32" s="534">
        <v>34.912869999999998</v>
      </c>
      <c r="J32" s="534">
        <v>38.301699999999997</v>
      </c>
      <c r="K32" s="534">
        <v>43.826210000000003</v>
      </c>
      <c r="L32" s="534">
        <v>44.109169999999999</v>
      </c>
      <c r="M32" s="534">
        <v>41.914009999999998</v>
      </c>
      <c r="N32" s="534">
        <v>45.859340000000003</v>
      </c>
      <c r="O32" s="534">
        <v>41.065510000000003</v>
      </c>
      <c r="P32" s="534">
        <v>38.843859999999999</v>
      </c>
      <c r="Q32" s="534">
        <v>39.881509999999999</v>
      </c>
      <c r="R32" s="534">
        <v>41.31561</v>
      </c>
      <c r="S32" s="534">
        <v>38.504199999999997</v>
      </c>
      <c r="T32" s="534">
        <v>35.740029999999997</v>
      </c>
      <c r="U32" s="534">
        <v>38.346559999999997</v>
      </c>
      <c r="V32" s="534">
        <v>39.995669999999997</v>
      </c>
      <c r="W32" s="534">
        <v>43.822690000000001</v>
      </c>
      <c r="X32" s="534">
        <v>46.798900000000003</v>
      </c>
      <c r="Y32" s="534">
        <v>50.183540000000001</v>
      </c>
      <c r="Z32" s="534">
        <v>54.177999999999997</v>
      </c>
      <c r="AA32" s="534">
        <v>59.223739999999999</v>
      </c>
      <c r="AB32" s="534">
        <v>68.452560000000005</v>
      </c>
      <c r="AC32" s="534">
        <v>76.550489999999996</v>
      </c>
      <c r="AD32" s="534">
        <v>84.225999999999999</v>
      </c>
      <c r="AE32" s="534">
        <v>91.605720000000005</v>
      </c>
      <c r="AF32" s="534">
        <v>90.530799999999999</v>
      </c>
    </row>
    <row r="33" spans="1:32">
      <c r="A33" s="22">
        <v>811</v>
      </c>
      <c r="B33" s="22" t="s">
        <v>169</v>
      </c>
      <c r="C33" s="534">
        <v>1.7916259999999999</v>
      </c>
      <c r="D33" s="534">
        <v>1.9595340000000001</v>
      </c>
      <c r="E33" s="534">
        <v>2.0678570000000001</v>
      </c>
      <c r="F33" s="534">
        <v>2.238016</v>
      </c>
      <c r="G33" s="534">
        <v>2.433535</v>
      </c>
      <c r="H33" s="534">
        <v>2.6261030000000001</v>
      </c>
      <c r="I33" s="534">
        <v>2.7557749999999999</v>
      </c>
      <c r="J33" s="534">
        <v>3.6231100000000001</v>
      </c>
      <c r="K33" s="534">
        <v>4.5310079999999999</v>
      </c>
      <c r="L33" s="534">
        <v>4.660037</v>
      </c>
      <c r="M33" s="534">
        <v>4.9036980000000003</v>
      </c>
      <c r="N33" s="534">
        <v>5.5442629999999999</v>
      </c>
      <c r="O33" s="534">
        <v>5.9878280000000004</v>
      </c>
      <c r="P33" s="534">
        <v>7.471031</v>
      </c>
      <c r="Q33" s="534">
        <v>7.8081699999999996</v>
      </c>
      <c r="R33" s="534">
        <v>8.3505559999999992</v>
      </c>
      <c r="S33" s="534">
        <v>8.3358819999999998</v>
      </c>
      <c r="T33" s="534">
        <v>8.9172989999999999</v>
      </c>
      <c r="U33" s="534">
        <v>9.3178040000000006</v>
      </c>
      <c r="V33" s="534">
        <v>10.516310000000001</v>
      </c>
      <c r="W33" s="534">
        <v>11.503629999999999</v>
      </c>
      <c r="X33" s="534">
        <v>12.813890000000001</v>
      </c>
      <c r="Y33" s="534">
        <v>14.03523</v>
      </c>
      <c r="Z33" s="534">
        <v>15.624309999999999</v>
      </c>
      <c r="AA33" s="534">
        <v>17.74014</v>
      </c>
      <c r="AB33" s="534">
        <v>20.74474</v>
      </c>
      <c r="AC33" s="534">
        <v>23.70121</v>
      </c>
      <c r="AD33" s="534">
        <v>26.469480000000001</v>
      </c>
      <c r="AE33" s="534">
        <v>27.35633</v>
      </c>
      <c r="AF33" s="534">
        <v>26.745830000000002</v>
      </c>
    </row>
    <row r="34" spans="1:32">
      <c r="A34" s="22">
        <v>20</v>
      </c>
      <c r="B34" s="22" t="s">
        <v>1</v>
      </c>
      <c r="C34" s="534">
        <v>283.20440000000002</v>
      </c>
      <c r="D34" s="534">
        <v>313.67219999999998</v>
      </c>
      <c r="E34" s="534">
        <v>322.73660000000001</v>
      </c>
      <c r="F34" s="534">
        <v>344.09179999999998</v>
      </c>
      <c r="G34" s="534">
        <v>375.12439999999998</v>
      </c>
      <c r="H34" s="534">
        <v>401.77080000000001</v>
      </c>
      <c r="I34" s="534">
        <v>418.52319999999997</v>
      </c>
      <c r="J34" s="534">
        <v>453.7944</v>
      </c>
      <c r="K34" s="534">
        <v>492.6816</v>
      </c>
      <c r="L34" s="534">
        <v>528.3451</v>
      </c>
      <c r="M34" s="534">
        <v>548.59670000000006</v>
      </c>
      <c r="N34" s="534">
        <v>552.45129999999995</v>
      </c>
      <c r="O34" s="534">
        <v>568.36620000000005</v>
      </c>
      <c r="P34" s="534">
        <v>591.03629999999998</v>
      </c>
      <c r="Q34" s="534">
        <v>630.11019999999996</v>
      </c>
      <c r="R34" s="534">
        <v>667.98689999999999</v>
      </c>
      <c r="S34" s="534">
        <v>694.1816</v>
      </c>
      <c r="T34" s="534">
        <v>730.65070000000003</v>
      </c>
      <c r="U34" s="534">
        <v>753.15779999999995</v>
      </c>
      <c r="V34" s="534">
        <v>810.55799999999999</v>
      </c>
      <c r="W34" s="534">
        <v>888.84389999999996</v>
      </c>
      <c r="X34" s="534">
        <v>919.74009999999998</v>
      </c>
      <c r="Y34" s="534">
        <v>952.50559999999996</v>
      </c>
      <c r="Z34" s="534">
        <v>1011.523</v>
      </c>
      <c r="AA34" s="534">
        <v>1091.7059999999999</v>
      </c>
      <c r="AB34" s="534">
        <v>1180.454</v>
      </c>
      <c r="AC34" s="534">
        <v>1259.9000000000001</v>
      </c>
      <c r="AD34" s="534">
        <v>1342.941</v>
      </c>
      <c r="AE34" s="534">
        <v>1417.4670000000001</v>
      </c>
      <c r="AF34" s="534">
        <v>1340.2460000000001</v>
      </c>
    </row>
    <row r="35" spans="1:32">
      <c r="A35" s="22">
        <v>471</v>
      </c>
      <c r="B35" s="22" t="s">
        <v>98</v>
      </c>
      <c r="C35" s="534">
        <v>7.7314179999999997</v>
      </c>
      <c r="D35" s="534">
        <v>9.6946770000000004</v>
      </c>
      <c r="E35" s="534">
        <v>11.47382</v>
      </c>
      <c r="F35" s="534">
        <v>12.614380000000001</v>
      </c>
      <c r="G35" s="534">
        <v>13.701079999999999</v>
      </c>
      <c r="H35" s="534">
        <v>15.006489999999999</v>
      </c>
      <c r="I35" s="534">
        <v>15.88044</v>
      </c>
      <c r="J35" s="534">
        <v>17.577929999999999</v>
      </c>
      <c r="K35" s="534">
        <v>16.61477</v>
      </c>
      <c r="L35" s="534">
        <v>16.40849</v>
      </c>
      <c r="M35" s="534">
        <v>16.223649999999999</v>
      </c>
      <c r="N35" s="534">
        <v>16.322209999999998</v>
      </c>
      <c r="O35" s="534">
        <v>15.92334</v>
      </c>
      <c r="P35" s="534">
        <v>16.319610000000001</v>
      </c>
      <c r="Q35" s="534">
        <v>16.31212</v>
      </c>
      <c r="R35" s="534">
        <v>17.333480000000002</v>
      </c>
      <c r="S35" s="534">
        <v>18.172450000000001</v>
      </c>
      <c r="T35" s="534">
        <v>19.204470000000001</v>
      </c>
      <c r="U35" s="534">
        <v>20.430579999999999</v>
      </c>
      <c r="V35" s="534">
        <v>21.788460000000001</v>
      </c>
      <c r="W35" s="534">
        <v>23.206479999999999</v>
      </c>
      <c r="X35" s="534">
        <v>24.237089999999998</v>
      </c>
      <c r="Y35" s="534">
        <v>25.492419999999999</v>
      </c>
      <c r="Z35" s="534">
        <v>27.687370000000001</v>
      </c>
      <c r="AA35" s="534">
        <v>29.461510000000001</v>
      </c>
      <c r="AB35" s="534">
        <v>30.953849999999999</v>
      </c>
      <c r="AC35" s="534">
        <v>34.09816</v>
      </c>
      <c r="AD35" s="534">
        <v>35.55977</v>
      </c>
      <c r="AE35" s="534">
        <v>38.300910000000002</v>
      </c>
      <c r="AF35" s="534">
        <v>38.511800000000001</v>
      </c>
    </row>
    <row r="36" spans="1:32">
      <c r="A36" s="22">
        <v>402</v>
      </c>
      <c r="B36" s="22" t="s">
        <v>81</v>
      </c>
      <c r="C36" s="534">
        <v>0.14008209999999999</v>
      </c>
      <c r="D36" s="534">
        <v>0.15897439999999999</v>
      </c>
      <c r="E36" s="534">
        <v>0.17902299999999999</v>
      </c>
      <c r="F36" s="534">
        <v>0.2003547</v>
      </c>
      <c r="G36" s="534">
        <v>0.2166419</v>
      </c>
      <c r="H36" s="534">
        <v>0.23437810000000001</v>
      </c>
      <c r="I36" s="534">
        <v>0.26928059999999998</v>
      </c>
      <c r="J36" s="534">
        <v>0.29415669999999999</v>
      </c>
      <c r="K36" s="534">
        <v>0.31399250000000001</v>
      </c>
      <c r="L36" s="534">
        <v>0.34548380000000001</v>
      </c>
      <c r="M36" s="534">
        <v>0.35316170000000002</v>
      </c>
      <c r="N36" s="534">
        <v>0.37448900000000002</v>
      </c>
      <c r="O36" s="534">
        <v>0.41243590000000002</v>
      </c>
      <c r="P36" s="534">
        <v>0.44801229999999997</v>
      </c>
      <c r="Q36" s="534">
        <v>0.51182530000000004</v>
      </c>
      <c r="R36" s="534">
        <v>0.53427360000000002</v>
      </c>
      <c r="S36" s="534">
        <v>0.6137975</v>
      </c>
      <c r="T36" s="534">
        <v>0.62708070000000005</v>
      </c>
      <c r="U36" s="534">
        <v>0.70190660000000005</v>
      </c>
      <c r="V36" s="534">
        <v>0.83434169999999996</v>
      </c>
      <c r="W36" s="534">
        <v>0.86642629999999998</v>
      </c>
      <c r="X36" s="534">
        <v>0.92938739999999997</v>
      </c>
      <c r="Y36" s="534">
        <v>1.001862</v>
      </c>
      <c r="Z36" s="534">
        <v>1.141537</v>
      </c>
      <c r="AA36" s="534">
        <v>1.2536560000000001</v>
      </c>
      <c r="AB36" s="534">
        <v>1.3575459999999999</v>
      </c>
      <c r="AC36" s="534">
        <v>1.5176289999999999</v>
      </c>
      <c r="AD36" s="534">
        <v>1.7814369999999999</v>
      </c>
      <c r="AE36" s="534">
        <v>1.966167</v>
      </c>
      <c r="AF36" s="534">
        <v>2.1314310000000001</v>
      </c>
    </row>
    <row r="37" spans="1:32">
      <c r="A37" s="22">
        <v>437</v>
      </c>
      <c r="B37" s="22" t="s">
        <v>91</v>
      </c>
      <c r="C37" s="534">
        <v>6.5020860000000003</v>
      </c>
      <c r="D37" s="534">
        <v>7.3215769999999996</v>
      </c>
      <c r="E37" s="534">
        <v>8.0114359999999998</v>
      </c>
      <c r="F37" s="534">
        <v>8.6532119999999999</v>
      </c>
      <c r="G37" s="534">
        <v>9.3756550000000001</v>
      </c>
      <c r="H37" s="534">
        <v>10.609310000000001</v>
      </c>
      <c r="I37" s="534">
        <v>11.03187</v>
      </c>
      <c r="J37" s="534">
        <v>10.650040000000001</v>
      </c>
      <c r="K37" s="534">
        <v>10.852449999999999</v>
      </c>
      <c r="L37" s="534">
        <v>12.255129999999999</v>
      </c>
      <c r="M37" s="534">
        <v>11.89391</v>
      </c>
      <c r="N37" s="534">
        <v>12.80865</v>
      </c>
      <c r="O37" s="534">
        <v>13.31129</v>
      </c>
      <c r="P37" s="534">
        <v>13.671989999999999</v>
      </c>
      <c r="Q37" s="534">
        <v>14.48963</v>
      </c>
      <c r="R37" s="534">
        <v>15.843299999999999</v>
      </c>
      <c r="S37" s="534">
        <v>17.13691</v>
      </c>
      <c r="T37" s="534">
        <v>17.612629999999999</v>
      </c>
      <c r="U37" s="534">
        <v>18.688880000000001</v>
      </c>
      <c r="V37" s="534">
        <v>18.96707</v>
      </c>
      <c r="W37" s="534">
        <v>17.390789999999999</v>
      </c>
      <c r="X37" s="534">
        <v>22.47512</v>
      </c>
      <c r="Y37" s="534">
        <v>22.197310000000002</v>
      </c>
      <c r="Z37" s="534">
        <v>22.673940000000002</v>
      </c>
      <c r="AA37" s="534">
        <v>23.705739999999999</v>
      </c>
      <c r="AB37" s="534">
        <v>25.137869999999999</v>
      </c>
      <c r="AC37" s="534">
        <v>26.226500000000001</v>
      </c>
      <c r="AD37" s="534">
        <v>27.254999999999999</v>
      </c>
      <c r="AE37" s="534">
        <v>28.742239999999999</v>
      </c>
      <c r="AF37" s="534">
        <v>30.73357</v>
      </c>
    </row>
    <row r="38" spans="1:32">
      <c r="A38" s="22">
        <v>482</v>
      </c>
      <c r="B38" s="22" t="s">
        <v>101</v>
      </c>
      <c r="C38" s="534">
        <v>1.0794299999999999</v>
      </c>
      <c r="D38" s="534">
        <v>1.166226</v>
      </c>
      <c r="E38" s="534">
        <v>1.2696719999999999</v>
      </c>
      <c r="F38" s="534">
        <v>1.1796500000000001</v>
      </c>
      <c r="G38" s="534">
        <v>1.351818</v>
      </c>
      <c r="H38" s="534">
        <v>1.447937</v>
      </c>
      <c r="I38" s="534">
        <v>1.5296240000000001</v>
      </c>
      <c r="J38" s="534">
        <v>1.5082979999999999</v>
      </c>
      <c r="K38" s="534">
        <v>1.6509780000000001</v>
      </c>
      <c r="L38" s="534">
        <v>1.826746</v>
      </c>
      <c r="M38" s="534">
        <v>1.807501</v>
      </c>
      <c r="N38" s="534">
        <v>1.9198329999999999</v>
      </c>
      <c r="O38" s="534">
        <v>1.906285</v>
      </c>
      <c r="P38" s="534">
        <v>1.960628</v>
      </c>
      <c r="Q38" s="534">
        <v>2.0662389999999999</v>
      </c>
      <c r="R38" s="534">
        <v>2.046027</v>
      </c>
      <c r="S38" s="534">
        <v>1.848868</v>
      </c>
      <c r="T38" s="534">
        <v>2.0705019999999998</v>
      </c>
      <c r="U38" s="534">
        <v>2.1615259999999998</v>
      </c>
      <c r="V38" s="534">
        <v>2.2741120000000001</v>
      </c>
      <c r="W38" s="534">
        <v>2.3422559999999999</v>
      </c>
      <c r="X38" s="534">
        <v>2.3535349999999999</v>
      </c>
      <c r="Y38" s="534">
        <v>2.358587</v>
      </c>
      <c r="Z38" s="534">
        <v>2.2518479999999998</v>
      </c>
      <c r="AA38" s="534">
        <v>2.2753260000000002</v>
      </c>
      <c r="AB38" s="534">
        <v>2.3881830000000002</v>
      </c>
      <c r="AC38" s="534">
        <v>2.5630700000000002</v>
      </c>
      <c r="AD38" s="534">
        <v>2.9703569999999999</v>
      </c>
      <c r="AE38" s="534">
        <v>3.2321029999999999</v>
      </c>
      <c r="AF38" s="534">
        <v>3.4656039999999999</v>
      </c>
    </row>
    <row r="39" spans="1:32">
      <c r="A39" s="22">
        <v>483</v>
      </c>
      <c r="B39" s="22" t="s">
        <v>102</v>
      </c>
      <c r="C39" s="534">
        <v>1.14167</v>
      </c>
      <c r="D39" s="534">
        <v>1.256022</v>
      </c>
      <c r="E39" s="534">
        <v>1.4204019999999999</v>
      </c>
      <c r="F39" s="534">
        <v>1.658717</v>
      </c>
      <c r="G39" s="534">
        <v>1.7047190000000001</v>
      </c>
      <c r="H39" s="534">
        <v>2.412277</v>
      </c>
      <c r="I39" s="534">
        <v>2.0144099999999998</v>
      </c>
      <c r="J39" s="534">
        <v>1.9744679999999999</v>
      </c>
      <c r="K39" s="534">
        <v>2.7529849999999998</v>
      </c>
      <c r="L39" s="534">
        <v>2.7901530000000001</v>
      </c>
      <c r="M39" s="534">
        <v>2.9523809999999999</v>
      </c>
      <c r="N39" s="534">
        <v>3.5898089999999998</v>
      </c>
      <c r="O39" s="534">
        <v>3.2386499999999998</v>
      </c>
      <c r="P39" s="534">
        <v>3.3206180000000001</v>
      </c>
      <c r="Q39" s="534">
        <v>3.6037300000000001</v>
      </c>
      <c r="R39" s="534">
        <v>3.7151049999999999</v>
      </c>
      <c r="S39" s="534">
        <v>3.506732</v>
      </c>
      <c r="T39" s="534">
        <v>3.7036250000000002</v>
      </c>
      <c r="U39" s="534">
        <v>3.9476619999999998</v>
      </c>
      <c r="V39" s="534">
        <v>4.2040449999999998</v>
      </c>
      <c r="W39" s="534">
        <v>4.2329850000000002</v>
      </c>
      <c r="X39" s="534">
        <v>4.8457189999999999</v>
      </c>
      <c r="Y39" s="534">
        <v>5.4057630000000003</v>
      </c>
      <c r="Z39" s="534">
        <v>6.5369070000000002</v>
      </c>
      <c r="AA39" s="534">
        <v>9.7596229999999995</v>
      </c>
      <c r="AB39" s="534">
        <v>12.15767</v>
      </c>
      <c r="AC39" s="534">
        <v>14.06222</v>
      </c>
      <c r="AD39" s="534">
        <v>14.406230000000001</v>
      </c>
      <c r="AE39" s="534">
        <v>15.58076</v>
      </c>
      <c r="AF39" s="534">
        <v>14.967320000000001</v>
      </c>
    </row>
    <row r="40" spans="1:32">
      <c r="A40" s="22">
        <v>155</v>
      </c>
      <c r="B40" s="22" t="s">
        <v>32</v>
      </c>
      <c r="C40" s="534">
        <v>26.056360000000002</v>
      </c>
      <c r="D40" s="534">
        <v>29.952220000000001</v>
      </c>
      <c r="E40" s="534">
        <v>26.140830000000001</v>
      </c>
      <c r="F40" s="534">
        <v>26.40635</v>
      </c>
      <c r="G40" s="534">
        <v>28.714179999999999</v>
      </c>
      <c r="H40" s="534">
        <v>29.649940000000001</v>
      </c>
      <c r="I40" s="534">
        <v>31.884209999999999</v>
      </c>
      <c r="J40" s="534">
        <v>35.60089</v>
      </c>
      <c r="K40" s="534">
        <v>41.138590000000001</v>
      </c>
      <c r="L40" s="534">
        <v>46.903669999999998</v>
      </c>
      <c r="M40" s="534">
        <v>49.482419999999998</v>
      </c>
      <c r="N40" s="534">
        <v>54.824249999999999</v>
      </c>
      <c r="O40" s="534">
        <v>62.10727</v>
      </c>
      <c r="P40" s="534">
        <v>67.386279999999999</v>
      </c>
      <c r="Q40" s="534">
        <v>74.868679999999998</v>
      </c>
      <c r="R40" s="534">
        <v>88.474310000000003</v>
      </c>
      <c r="S40" s="534">
        <v>92.886179999999996</v>
      </c>
      <c r="T40" s="534">
        <v>100.26860000000001</v>
      </c>
      <c r="U40" s="534">
        <v>103.2302</v>
      </c>
      <c r="V40" s="534">
        <v>104.3168</v>
      </c>
      <c r="W40" s="534">
        <v>112.92400000000001</v>
      </c>
      <c r="X40" s="534">
        <v>117.77030000000001</v>
      </c>
      <c r="Y40" s="534">
        <v>123.8409</v>
      </c>
      <c r="Z40" s="534">
        <v>134.8758</v>
      </c>
      <c r="AA40" s="534">
        <v>157.54589999999999</v>
      </c>
      <c r="AB40" s="534">
        <v>179.45249999999999</v>
      </c>
      <c r="AC40" s="534">
        <v>213.42349999999999</v>
      </c>
      <c r="AD40" s="534">
        <v>233.98140000000001</v>
      </c>
      <c r="AE40" s="534">
        <v>234.6223</v>
      </c>
      <c r="AF40">
        <v>227.26852</v>
      </c>
    </row>
    <row r="41" spans="1:32">
      <c r="A41" s="22">
        <v>710</v>
      </c>
      <c r="B41" s="22" t="s">
        <v>154</v>
      </c>
      <c r="C41" s="534">
        <v>292.34390000000002</v>
      </c>
      <c r="D41" s="534">
        <v>339.84719999999999</v>
      </c>
      <c r="E41" s="534">
        <v>401.10149999999999</v>
      </c>
      <c r="F41" s="534">
        <v>457.6447</v>
      </c>
      <c r="G41" s="534">
        <v>538.68129999999996</v>
      </c>
      <c r="H41" s="534">
        <v>636.90009999999995</v>
      </c>
      <c r="I41" s="534">
        <v>704.47829999999999</v>
      </c>
      <c r="J41" s="534">
        <v>804.8</v>
      </c>
      <c r="K41" s="534">
        <v>903.48289999999997</v>
      </c>
      <c r="L41" s="534">
        <v>962.5865</v>
      </c>
      <c r="M41" s="534">
        <v>1075.559</v>
      </c>
      <c r="N41" s="534">
        <v>1216.242</v>
      </c>
      <c r="O41" s="534">
        <v>1393.173</v>
      </c>
      <c r="P41" s="534">
        <v>1701.9690000000001</v>
      </c>
      <c r="Q41" s="534">
        <v>1964.07</v>
      </c>
      <c r="R41" s="534">
        <v>2221.9209999999998</v>
      </c>
      <c r="S41" s="534">
        <v>2458.7759999999998</v>
      </c>
      <c r="T41" s="534">
        <v>2619.549</v>
      </c>
      <c r="U41" s="534">
        <v>2790.558</v>
      </c>
      <c r="V41" s="534">
        <v>3056.4470000000001</v>
      </c>
      <c r="W41" s="534">
        <v>3321.7429999999999</v>
      </c>
      <c r="X41" s="534">
        <v>3674.0340000000001</v>
      </c>
      <c r="Y41" s="534">
        <v>4128.8819999999996</v>
      </c>
      <c r="Z41" s="534">
        <v>4643.7920000000004</v>
      </c>
      <c r="AA41" s="534">
        <v>5270.9380000000001</v>
      </c>
      <c r="AB41" s="534">
        <v>6145.9740000000002</v>
      </c>
      <c r="AC41" s="534">
        <v>7181.2740000000003</v>
      </c>
      <c r="AD41" s="534">
        <v>8392.8140000000003</v>
      </c>
      <c r="AE41" s="534">
        <v>9719.4009999999998</v>
      </c>
      <c r="AF41" s="534">
        <v>10739.33</v>
      </c>
    </row>
    <row r="42" spans="1:32">
      <c r="A42" s="22">
        <v>100</v>
      </c>
      <c r="B42" s="22" t="s">
        <v>23</v>
      </c>
      <c r="C42" s="534">
        <v>54.010939999999998</v>
      </c>
      <c r="D42" s="534">
        <v>60.051859999999998</v>
      </c>
      <c r="E42" s="534">
        <v>64.551959999999994</v>
      </c>
      <c r="F42" s="534">
        <v>67.234970000000004</v>
      </c>
      <c r="G42" s="534">
        <v>71.868250000000003</v>
      </c>
      <c r="H42" s="534">
        <v>74.624300000000005</v>
      </c>
      <c r="I42" s="534">
        <v>82.548609999999996</v>
      </c>
      <c r="J42" s="534">
        <v>86.859840000000005</v>
      </c>
      <c r="K42" s="534">
        <v>93.611469999999997</v>
      </c>
      <c r="L42" s="534">
        <v>99.626959999999997</v>
      </c>
      <c r="M42" s="534">
        <v>107.5997</v>
      </c>
      <c r="N42" s="534">
        <v>112.6767</v>
      </c>
      <c r="O42" s="534">
        <v>121.4742</v>
      </c>
      <c r="P42" s="534">
        <v>131.8366</v>
      </c>
      <c r="Q42" s="534">
        <v>143.65270000000001</v>
      </c>
      <c r="R42" s="534">
        <v>154.53450000000001</v>
      </c>
      <c r="S42" s="534">
        <v>157.64680000000001</v>
      </c>
      <c r="T42" s="534">
        <v>194.93899999999999</v>
      </c>
      <c r="U42" s="534">
        <v>192.56829999999999</v>
      </c>
      <c r="V42" s="534">
        <v>182.14769999999999</v>
      </c>
      <c r="W42" s="534">
        <v>194.1808</v>
      </c>
      <c r="X42" s="534">
        <v>200.66800000000001</v>
      </c>
      <c r="Y42" s="534">
        <v>208.04079999999999</v>
      </c>
      <c r="Z42" s="534">
        <v>224.28360000000001</v>
      </c>
      <c r="AA42" s="534">
        <v>247.08189999999999</v>
      </c>
      <c r="AB42" s="534">
        <v>276.39569999999998</v>
      </c>
      <c r="AC42" s="534">
        <v>310.8886</v>
      </c>
      <c r="AD42" s="534">
        <v>348.08800000000002</v>
      </c>
      <c r="AE42" s="534">
        <v>376.03480000000002</v>
      </c>
      <c r="AF42" s="534">
        <v>372.77030000000002</v>
      </c>
    </row>
    <row r="43" spans="1:32">
      <c r="A43" s="22">
        <v>581</v>
      </c>
      <c r="B43" s="22" t="s">
        <v>125</v>
      </c>
      <c r="C43" s="534">
        <v>0.2201294</v>
      </c>
      <c r="D43" s="534">
        <v>0.24616299999999999</v>
      </c>
      <c r="E43" s="534">
        <v>0.2744953</v>
      </c>
      <c r="F43" s="534">
        <v>0.30036750000000001</v>
      </c>
      <c r="G43" s="534">
        <v>0.31436629999999999</v>
      </c>
      <c r="H43" s="534">
        <v>0.33301979999999998</v>
      </c>
      <c r="I43" s="534">
        <v>0.34995779999999999</v>
      </c>
      <c r="J43" s="534">
        <v>0.36184139999999998</v>
      </c>
      <c r="K43" s="534">
        <v>0.38154399999999999</v>
      </c>
      <c r="L43" s="534">
        <v>0.38474710000000001</v>
      </c>
      <c r="M43" s="534">
        <v>0.39758650000000001</v>
      </c>
      <c r="N43" s="534">
        <v>0.41228239999999999</v>
      </c>
      <c r="O43" s="534">
        <v>0.44100620000000001</v>
      </c>
      <c r="P43" s="534">
        <v>0.44251869999999999</v>
      </c>
      <c r="Q43" s="534">
        <v>0.39113179999999997</v>
      </c>
      <c r="R43" s="534">
        <v>0.46583540000000001</v>
      </c>
      <c r="S43" s="534">
        <v>0.4658968</v>
      </c>
      <c r="T43" s="534">
        <v>0.48955949999999998</v>
      </c>
      <c r="U43" s="534">
        <v>0.46127790000000002</v>
      </c>
      <c r="V43" s="534">
        <v>0.48428339999999998</v>
      </c>
      <c r="W43" s="534">
        <v>0.49761759999999999</v>
      </c>
      <c r="X43" s="534">
        <v>0.5365953</v>
      </c>
      <c r="Y43" s="534">
        <v>0.56850670000000003</v>
      </c>
      <c r="Z43" s="534">
        <v>0.58551940000000002</v>
      </c>
      <c r="AA43" s="534">
        <v>0.59757479999999996</v>
      </c>
      <c r="AB43" s="534">
        <v>0.64519159999999998</v>
      </c>
      <c r="AC43" s="534">
        <v>0.67823049999999996</v>
      </c>
      <c r="AD43" s="534">
        <v>0.70421710000000004</v>
      </c>
      <c r="AE43" s="534">
        <v>0.74615069999999994</v>
      </c>
      <c r="AF43" s="534">
        <v>0.76363340000000002</v>
      </c>
    </row>
    <row r="44" spans="1:32" ht="15.75" customHeight="1">
      <c r="A44" s="22">
        <v>484</v>
      </c>
      <c r="B44" s="22" t="s">
        <v>103</v>
      </c>
      <c r="C44" s="534">
        <v>1.1946969999999999</v>
      </c>
      <c r="D44" s="534">
        <v>1.71929</v>
      </c>
      <c r="E44" s="534">
        <v>2.1073040000000001</v>
      </c>
      <c r="F44" s="534">
        <v>2.3155109999999999</v>
      </c>
      <c r="G44" s="534">
        <v>2.7230159999999999</v>
      </c>
      <c r="H44" s="534">
        <v>2.7095159999999998</v>
      </c>
      <c r="I44" s="534">
        <v>1.832306</v>
      </c>
      <c r="J44" s="534">
        <v>1.9882200000000001</v>
      </c>
      <c r="K44" s="534">
        <v>1.9302330000000001</v>
      </c>
      <c r="L44" s="534">
        <v>2.2411859999999999</v>
      </c>
      <c r="M44" s="534">
        <v>2.2846190000000002</v>
      </c>
      <c r="N44" s="534">
        <v>2.4335939999999998</v>
      </c>
      <c r="O44" s="534">
        <v>2.3559320000000001</v>
      </c>
      <c r="P44" s="534">
        <v>2.6043240000000001</v>
      </c>
      <c r="Q44" s="534">
        <v>2.1139990000000002</v>
      </c>
      <c r="R44" s="534">
        <v>2.1034980000000001</v>
      </c>
      <c r="S44" s="534">
        <v>2.8488790000000002</v>
      </c>
      <c r="T44" s="534">
        <v>3.586687</v>
      </c>
      <c r="U44" s="534">
        <v>2.8762699999999999</v>
      </c>
      <c r="V44" s="534">
        <v>3.5750190000000002</v>
      </c>
      <c r="W44" s="534">
        <v>5.5806019999999998</v>
      </c>
      <c r="X44" s="534">
        <v>4.8932359999999999</v>
      </c>
      <c r="Y44" s="534">
        <v>5.355569</v>
      </c>
      <c r="Z44" s="534">
        <v>5.4832979999999996</v>
      </c>
      <c r="AA44" s="534">
        <v>6.0366910000000003</v>
      </c>
      <c r="AB44" s="534">
        <v>7.8866339999999999</v>
      </c>
      <c r="AC44" s="534">
        <v>7.6733640000000003</v>
      </c>
      <c r="AD44" s="534">
        <v>7.202718</v>
      </c>
      <c r="AE44" s="534">
        <v>9.7940229999999993</v>
      </c>
      <c r="AF44" s="534">
        <v>9.4336529999999996</v>
      </c>
    </row>
    <row r="45" spans="1:32">
      <c r="A45" s="22">
        <v>94</v>
      </c>
      <c r="B45" s="22" t="s">
        <v>21</v>
      </c>
      <c r="C45" s="534">
        <v>9.5989690000000003</v>
      </c>
      <c r="D45" s="534">
        <v>9.3862769999999998</v>
      </c>
      <c r="E45" s="534">
        <v>9.4845319999999997</v>
      </c>
      <c r="F45" s="534">
        <v>10.17314</v>
      </c>
      <c r="G45" s="534">
        <v>11.38236</v>
      </c>
      <c r="H45" s="534">
        <v>11.998139999999999</v>
      </c>
      <c r="I45" s="534">
        <v>13.57305</v>
      </c>
      <c r="J45" s="534">
        <v>13.87724</v>
      </c>
      <c r="K45" s="534">
        <v>14.70356</v>
      </c>
      <c r="L45" s="534">
        <v>15.741390000000001</v>
      </c>
      <c r="M45" s="534">
        <v>16.625350000000001</v>
      </c>
      <c r="N45" s="534">
        <v>17.505859999999998</v>
      </c>
      <c r="O45" s="534">
        <v>19.60697</v>
      </c>
      <c r="P45" s="534">
        <v>21.558979999999998</v>
      </c>
      <c r="Q45" s="534">
        <v>23.249510000000001</v>
      </c>
      <c r="R45" s="534">
        <v>24.534490000000002</v>
      </c>
      <c r="S45" s="534">
        <v>24.744260000000001</v>
      </c>
      <c r="T45" s="534">
        <v>27.06241</v>
      </c>
      <c r="U45" s="534">
        <v>29.766480000000001</v>
      </c>
      <c r="V45" s="534">
        <v>32.351930000000003</v>
      </c>
      <c r="W45" s="534">
        <v>32.334000000000003</v>
      </c>
      <c r="X45" s="534">
        <v>33.368310000000001</v>
      </c>
      <c r="Y45" s="534">
        <v>34.706899999999997</v>
      </c>
      <c r="Z45" s="534">
        <v>36.92727</v>
      </c>
      <c r="AA45" s="534">
        <v>39.21087</v>
      </c>
      <c r="AB45" s="534">
        <v>41.875610000000002</v>
      </c>
      <c r="AC45" s="534">
        <v>46.110259999999997</v>
      </c>
      <c r="AD45" s="534">
        <v>50.369370000000004</v>
      </c>
      <c r="AE45" s="534">
        <v>53.418109999999999</v>
      </c>
      <c r="AF45" s="534">
        <v>55.253830000000001</v>
      </c>
    </row>
    <row r="46" spans="1:32">
      <c r="A46" s="22">
        <v>344</v>
      </c>
      <c r="B46" s="22" t="s">
        <v>58</v>
      </c>
      <c r="M46" s="534">
        <v>33.543819999999997</v>
      </c>
      <c r="N46" s="534">
        <v>27.942160000000001</v>
      </c>
      <c r="O46" s="534">
        <v>25.213290000000001</v>
      </c>
      <c r="P46" s="534">
        <v>23.730509999999999</v>
      </c>
      <c r="Q46" s="534">
        <v>25.571470000000001</v>
      </c>
      <c r="R46" s="534">
        <v>27.930510000000002</v>
      </c>
      <c r="S46" s="534">
        <v>30.49578</v>
      </c>
      <c r="T46" s="534">
        <v>33.645099999999999</v>
      </c>
      <c r="U46" s="534">
        <v>35.096550000000001</v>
      </c>
      <c r="V46" s="534">
        <v>34.987520000000004</v>
      </c>
      <c r="W46" s="534">
        <v>36.80583</v>
      </c>
      <c r="X46" s="534">
        <v>39.474769999999999</v>
      </c>
      <c r="Y46" s="534">
        <v>41.923000000000002</v>
      </c>
      <c r="Z46" s="534">
        <v>45.257190000000001</v>
      </c>
      <c r="AA46" s="534">
        <v>48.662509999999997</v>
      </c>
      <c r="AB46" s="534">
        <v>63.439309999999999</v>
      </c>
      <c r="AC46" s="534">
        <v>68.798199999999994</v>
      </c>
      <c r="AD46" s="534">
        <v>75.142920000000004</v>
      </c>
      <c r="AE46" s="534">
        <v>79.78877</v>
      </c>
      <c r="AF46" s="534">
        <v>76.402550000000005</v>
      </c>
    </row>
    <row r="47" spans="1:32">
      <c r="A47" s="22">
        <v>40</v>
      </c>
      <c r="B47" s="22" t="s">
        <v>3</v>
      </c>
      <c r="C47" s="534">
        <v>35.517769999999999</v>
      </c>
      <c r="D47" s="534">
        <v>46.438969999999998</v>
      </c>
      <c r="E47" s="534">
        <v>53.409869999999998</v>
      </c>
      <c r="F47" s="534">
        <v>58.463549999999998</v>
      </c>
      <c r="G47" s="534">
        <v>65.448880000000003</v>
      </c>
      <c r="H47" s="534">
        <v>67.888589999999994</v>
      </c>
      <c r="I47" s="534">
        <v>68.567480000000003</v>
      </c>
      <c r="J47" s="534">
        <v>71.065160000000006</v>
      </c>
      <c r="K47" s="534">
        <v>75.790779999999998</v>
      </c>
      <c r="L47" s="534">
        <v>79.446849999999998</v>
      </c>
      <c r="M47" s="534">
        <v>78.833950000000002</v>
      </c>
      <c r="N47" s="534">
        <v>72.250990000000002</v>
      </c>
      <c r="O47" s="534">
        <v>63.077950000000001</v>
      </c>
      <c r="P47" s="534">
        <v>57.770119999999999</v>
      </c>
      <c r="Q47" s="534">
        <v>62.011760000000002</v>
      </c>
      <c r="R47" s="534">
        <v>63.443899999999999</v>
      </c>
      <c r="S47" s="534">
        <v>67.509060000000005</v>
      </c>
      <c r="T47" s="534">
        <v>69.516099999999994</v>
      </c>
      <c r="U47" s="534">
        <v>71.433819999999997</v>
      </c>
      <c r="V47" s="534">
        <v>75.529269999999997</v>
      </c>
      <c r="W47" s="534">
        <v>80.379760000000005</v>
      </c>
      <c r="X47" s="534">
        <v>85.128270000000001</v>
      </c>
      <c r="Y47" s="534">
        <v>89.095259999999996</v>
      </c>
      <c r="Z47" s="534">
        <v>97.316010000000006</v>
      </c>
      <c r="AA47" s="534">
        <v>103.8788</v>
      </c>
      <c r="AB47" s="534">
        <v>102.2679</v>
      </c>
      <c r="AC47" s="534">
        <v>118.78</v>
      </c>
      <c r="AD47" s="534">
        <v>131.2517</v>
      </c>
      <c r="AE47" s="534">
        <v>130.4898</v>
      </c>
      <c r="AF47" s="534">
        <v>141.261</v>
      </c>
    </row>
    <row r="48" spans="1:32">
      <c r="A48" s="22">
        <v>352</v>
      </c>
      <c r="B48" s="22" t="s">
        <v>63</v>
      </c>
      <c r="C48" s="534">
        <v>2.6204689999999999</v>
      </c>
      <c r="D48" s="534">
        <v>2.9454850000000001</v>
      </c>
      <c r="E48" s="534">
        <v>3.327995</v>
      </c>
      <c r="F48" s="534">
        <v>3.5912959999999998</v>
      </c>
      <c r="G48" s="534">
        <v>4.1477000000000004</v>
      </c>
      <c r="H48" s="534">
        <v>4.4243629999999996</v>
      </c>
      <c r="I48" s="534">
        <v>4.7326319999999997</v>
      </c>
      <c r="J48" s="534">
        <v>5.3610350000000002</v>
      </c>
      <c r="K48" s="534">
        <v>6.009671</v>
      </c>
      <c r="L48" s="534">
        <v>6.6892670000000001</v>
      </c>
      <c r="M48" s="534">
        <v>7.5885759999999998</v>
      </c>
      <c r="N48" s="534">
        <v>7.869821</v>
      </c>
      <c r="O48" s="534">
        <v>8.7599040000000006</v>
      </c>
      <c r="P48" s="534">
        <v>8.9682320000000004</v>
      </c>
      <c r="Q48" s="534">
        <v>9.7415489999999991</v>
      </c>
      <c r="R48" s="534">
        <v>10.677899999999999</v>
      </c>
      <c r="S48" s="534">
        <v>11.019220000000001</v>
      </c>
      <c r="T48" s="534">
        <v>11.35281</v>
      </c>
      <c r="U48" s="534">
        <v>12.13355</v>
      </c>
      <c r="V48" s="534">
        <v>12.882989999999999</v>
      </c>
      <c r="W48" s="534">
        <v>13.921139999999999</v>
      </c>
      <c r="X48" s="534">
        <v>14.867470000000001</v>
      </c>
      <c r="Y48" s="534">
        <v>15.27219</v>
      </c>
      <c r="Z48" s="534">
        <v>15.944129999999999</v>
      </c>
      <c r="AA48" s="534">
        <v>17.396229999999999</v>
      </c>
      <c r="AB48" s="534">
        <v>18.58099</v>
      </c>
      <c r="AC48" s="534">
        <v>20.067589999999999</v>
      </c>
      <c r="AD48" s="534">
        <v>22.06889</v>
      </c>
      <c r="AE48" s="534">
        <v>23.611599999999999</v>
      </c>
      <c r="AF48" s="534">
        <v>23.036390000000001</v>
      </c>
    </row>
    <row r="49" spans="1:32">
      <c r="A49" s="22">
        <v>316</v>
      </c>
      <c r="B49" s="22" t="s">
        <v>51</v>
      </c>
      <c r="M49" s="534">
        <v>124.02930000000001</v>
      </c>
      <c r="N49" s="534">
        <v>105.0791</v>
      </c>
      <c r="O49" s="534">
        <v>102.96680000000001</v>
      </c>
      <c r="P49" s="534">
        <v>108.3282</v>
      </c>
      <c r="Q49" s="534">
        <v>115.48390000000001</v>
      </c>
      <c r="R49" s="534">
        <v>123.6833</v>
      </c>
      <c r="S49" s="534">
        <v>133.46610000000001</v>
      </c>
      <c r="T49" s="534">
        <v>135.1584</v>
      </c>
      <c r="U49" s="534">
        <v>139.09399999999999</v>
      </c>
      <c r="V49" s="534">
        <v>143.26730000000001</v>
      </c>
      <c r="W49" s="534">
        <v>148.57429999999999</v>
      </c>
      <c r="X49" s="534">
        <v>158.57259999999999</v>
      </c>
      <c r="Y49" s="534">
        <v>168.64070000000001</v>
      </c>
      <c r="Z49" s="534">
        <v>179.71420000000001</v>
      </c>
      <c r="AA49" s="534">
        <v>196.0523</v>
      </c>
      <c r="AB49" s="534">
        <v>211.95060000000001</v>
      </c>
      <c r="AC49" s="534">
        <v>231.8527</v>
      </c>
      <c r="AD49" s="534">
        <v>256.16120000000001</v>
      </c>
      <c r="AE49" s="534">
        <v>266.15570000000002</v>
      </c>
      <c r="AF49" s="534">
        <v>260.9443</v>
      </c>
    </row>
    <row r="50" spans="1:32">
      <c r="A50" s="22">
        <v>390</v>
      </c>
      <c r="B50" s="22" t="s">
        <v>79</v>
      </c>
      <c r="C50" s="534">
        <v>50.940530000000003</v>
      </c>
      <c r="D50" s="534">
        <v>55.208799999999997</v>
      </c>
      <c r="E50" s="534">
        <v>59.9178</v>
      </c>
      <c r="F50" s="534">
        <v>63.913600000000002</v>
      </c>
      <c r="G50" s="534">
        <v>69.039730000000006</v>
      </c>
      <c r="H50" s="534">
        <v>74.214939999999999</v>
      </c>
      <c r="I50" s="534">
        <v>81.092609999999993</v>
      </c>
      <c r="J50" s="534">
        <v>84.300290000000004</v>
      </c>
      <c r="K50" s="534">
        <v>86.914190000000005</v>
      </c>
      <c r="L50" s="534">
        <v>91.083920000000006</v>
      </c>
      <c r="M50" s="534">
        <v>96.545860000000005</v>
      </c>
      <c r="N50" s="534">
        <v>100.6957</v>
      </c>
      <c r="O50" s="534">
        <v>105.7282</v>
      </c>
      <c r="P50" s="534">
        <v>107.2783</v>
      </c>
      <c r="Q50" s="534">
        <v>115.1918</v>
      </c>
      <c r="R50" s="534">
        <v>121.62649999999999</v>
      </c>
      <c r="S50" s="534">
        <v>127.6973</v>
      </c>
      <c r="T50" s="534">
        <v>134.03450000000001</v>
      </c>
      <c r="U50" s="534">
        <v>137.53460000000001</v>
      </c>
      <c r="V50" s="534">
        <v>142.91579999999999</v>
      </c>
      <c r="W50" s="534">
        <v>153.11799999999999</v>
      </c>
      <c r="X50" s="534">
        <v>157.2724</v>
      </c>
      <c r="Y50" s="534">
        <v>161.35470000000001</v>
      </c>
      <c r="Z50" s="534">
        <v>165.78880000000001</v>
      </c>
      <c r="AA50" s="534">
        <v>175.36789999999999</v>
      </c>
      <c r="AB50" s="534">
        <v>188.50239999999999</v>
      </c>
      <c r="AC50" s="534">
        <v>202.19900000000001</v>
      </c>
      <c r="AD50" s="534">
        <v>210.89760000000001</v>
      </c>
      <c r="AE50" s="534">
        <v>217.35419999999999</v>
      </c>
      <c r="AF50" s="534">
        <v>205.6096</v>
      </c>
    </row>
    <row r="51" spans="1:32">
      <c r="A51" s="22">
        <v>522</v>
      </c>
      <c r="B51" s="22" t="s">
        <v>111</v>
      </c>
      <c r="C51" s="534">
        <v>0.48157299999999997</v>
      </c>
      <c r="D51" s="534">
        <v>0.53657049999999995</v>
      </c>
      <c r="E51" s="534">
        <v>0.58706029999999998</v>
      </c>
      <c r="F51" s="534">
        <v>0.60897389999999996</v>
      </c>
      <c r="G51" s="534">
        <v>0.64407289999999995</v>
      </c>
      <c r="H51" s="534">
        <v>0.6690391</v>
      </c>
      <c r="I51" s="534">
        <v>0.66332310000000005</v>
      </c>
      <c r="J51" s="534">
        <v>0.68590859999999998</v>
      </c>
      <c r="K51" s="534">
        <v>0.71542700000000004</v>
      </c>
      <c r="L51" s="534">
        <v>0.72221559999999996</v>
      </c>
      <c r="M51" s="534">
        <v>0.80013820000000002</v>
      </c>
      <c r="N51" s="534">
        <v>0.83918230000000005</v>
      </c>
      <c r="O51" s="534">
        <v>0.93168960000000001</v>
      </c>
      <c r="P51" s="534">
        <v>1.14523</v>
      </c>
      <c r="Q51" s="534">
        <v>0.98766279999999995</v>
      </c>
      <c r="R51" s="534">
        <v>1.0603910000000001</v>
      </c>
      <c r="S51" s="534">
        <v>0.97502440000000001</v>
      </c>
      <c r="T51" s="534">
        <v>1.3431580000000001</v>
      </c>
      <c r="U51" s="534">
        <v>1.391969</v>
      </c>
      <c r="V51" s="534">
        <v>1.3290900000000001</v>
      </c>
      <c r="W51" s="534">
        <v>1.4170670000000001</v>
      </c>
      <c r="X51" s="534">
        <v>1.3913120000000001</v>
      </c>
      <c r="Y51" s="534">
        <v>1.4029309999999999</v>
      </c>
      <c r="Z51" s="534">
        <v>1.5290379999999999</v>
      </c>
      <c r="AA51" s="534">
        <v>1.7479849999999999</v>
      </c>
      <c r="AB51" s="534">
        <v>1.4638610000000001</v>
      </c>
      <c r="AC51" s="534">
        <v>1.646498</v>
      </c>
      <c r="AD51" s="534">
        <v>1.8131740000000001</v>
      </c>
      <c r="AE51" s="534">
        <v>2.363877</v>
      </c>
      <c r="AF51" s="534">
        <v>2.4579520000000001</v>
      </c>
    </row>
    <row r="52" spans="1:32">
      <c r="A52" s="22">
        <v>54</v>
      </c>
      <c r="B52" s="22" t="s">
        <v>9</v>
      </c>
      <c r="C52" s="534">
        <v>8.7048E-2</v>
      </c>
      <c r="D52" s="534">
        <v>0.10600619999999999</v>
      </c>
      <c r="E52" s="534">
        <v>0.1162743</v>
      </c>
      <c r="F52" s="534">
        <v>0.12354759999999999</v>
      </c>
      <c r="G52" s="534">
        <v>0.13520989999999999</v>
      </c>
      <c r="H52" s="534">
        <v>0.139954</v>
      </c>
      <c r="I52" s="534">
        <v>0.152471</v>
      </c>
      <c r="J52" s="534">
        <v>0.16883039999999999</v>
      </c>
      <c r="K52" s="534">
        <v>0.18961439999999999</v>
      </c>
      <c r="L52" s="534">
        <v>0.1967699</v>
      </c>
      <c r="M52" s="534">
        <v>0.21606020000000001</v>
      </c>
      <c r="N52" s="534">
        <v>0.22292190000000001</v>
      </c>
      <c r="O52" s="534">
        <v>0.23596990000000001</v>
      </c>
      <c r="P52" s="534">
        <v>0.24074180000000001</v>
      </c>
      <c r="Q52" s="534">
        <v>0.24846660000000001</v>
      </c>
      <c r="R52" s="534">
        <v>0.26006220000000002</v>
      </c>
      <c r="S52" s="534">
        <v>0.27319349999999998</v>
      </c>
      <c r="T52" s="534">
        <v>0.2852905</v>
      </c>
      <c r="U52" s="534">
        <v>0.29667719999999997</v>
      </c>
      <c r="V52" s="534">
        <v>0.30452800000000002</v>
      </c>
      <c r="W52" s="534">
        <v>0.31322060000000002</v>
      </c>
      <c r="X52" s="534">
        <v>0.28854540000000001</v>
      </c>
      <c r="Y52" s="534">
        <v>0.28202490000000002</v>
      </c>
      <c r="Z52" s="534">
        <v>0.2823232</v>
      </c>
      <c r="AA52" s="534">
        <v>0.31654749999999998</v>
      </c>
      <c r="AB52" s="534">
        <v>0.36265459999999999</v>
      </c>
      <c r="AC52" s="534">
        <v>0.39867170000000002</v>
      </c>
      <c r="AD52" s="534">
        <v>0.43223709999999999</v>
      </c>
      <c r="AE52" s="534">
        <v>0.45756720000000001</v>
      </c>
      <c r="AF52" s="534">
        <v>0.45858159999999998</v>
      </c>
    </row>
    <row r="53" spans="1:32">
      <c r="A53" s="22">
        <v>42</v>
      </c>
      <c r="B53" s="22" t="s">
        <v>5</v>
      </c>
      <c r="C53" s="534">
        <v>13.08182</v>
      </c>
      <c r="D53" s="534">
        <v>15.83113</v>
      </c>
      <c r="E53" s="534">
        <v>16.541740000000001</v>
      </c>
      <c r="F53" s="534">
        <v>18.103760000000001</v>
      </c>
      <c r="G53" s="534">
        <v>18.512080000000001</v>
      </c>
      <c r="H53" s="534">
        <v>18.889389999999999</v>
      </c>
      <c r="I53" s="534">
        <v>20.468350000000001</v>
      </c>
      <c r="J53" s="534">
        <v>21.537859999999998</v>
      </c>
      <c r="K53" s="534">
        <v>24.869070000000001</v>
      </c>
      <c r="L53" s="534">
        <v>25.03125</v>
      </c>
      <c r="M53" s="534">
        <v>24.204879999999999</v>
      </c>
      <c r="N53" s="534">
        <v>25.51586</v>
      </c>
      <c r="O53" s="534">
        <v>29.0139</v>
      </c>
      <c r="P53" s="534">
        <v>32.198030000000003</v>
      </c>
      <c r="Q53" s="534">
        <v>34.306690000000003</v>
      </c>
      <c r="R53" s="534">
        <v>36.539360000000002</v>
      </c>
      <c r="S53" s="534">
        <v>39.488990000000001</v>
      </c>
      <c r="T53" s="534">
        <v>43.928440000000002</v>
      </c>
      <c r="U53" s="534">
        <v>48.42653</v>
      </c>
      <c r="V53" s="534">
        <v>51.722520000000003</v>
      </c>
      <c r="W53" s="534">
        <v>54.937820000000002</v>
      </c>
      <c r="X53" s="534">
        <v>58.24306</v>
      </c>
      <c r="Y53" s="534">
        <v>62.083469999999998</v>
      </c>
      <c r="Z53" s="534">
        <v>61.242759999999997</v>
      </c>
      <c r="AA53" s="534">
        <v>65.166399999999996</v>
      </c>
      <c r="AB53" s="534">
        <v>72.906899999999993</v>
      </c>
      <c r="AC53" s="534">
        <v>83.323310000000006</v>
      </c>
      <c r="AD53" s="534">
        <v>92.980220000000003</v>
      </c>
      <c r="AE53" s="534">
        <v>99.771209999999996</v>
      </c>
      <c r="AF53" s="534">
        <v>106.71250000000001</v>
      </c>
    </row>
    <row r="54" spans="1:32">
      <c r="A54" s="22">
        <v>490</v>
      </c>
      <c r="B54" s="22" t="s">
        <v>104</v>
      </c>
      <c r="C54" s="534">
        <v>9.3287530000000007</v>
      </c>
      <c r="D54" s="534">
        <v>9.8534369999999996</v>
      </c>
      <c r="E54" s="534">
        <v>10.45936</v>
      </c>
      <c r="F54" s="534">
        <v>11.00766</v>
      </c>
      <c r="G54" s="534">
        <v>12.88261</v>
      </c>
      <c r="H54" s="534">
        <v>12.53974</v>
      </c>
      <c r="I54" s="534">
        <v>13.347619999999999</v>
      </c>
      <c r="J54" s="534">
        <v>13.980639999999999</v>
      </c>
      <c r="K54" s="534">
        <v>14.58733</v>
      </c>
      <c r="L54" s="534">
        <v>14.40319</v>
      </c>
      <c r="M54" s="534">
        <v>15.56363</v>
      </c>
      <c r="N54" s="534">
        <v>14.10059</v>
      </c>
      <c r="O54" s="534">
        <v>13.057029999999999</v>
      </c>
      <c r="P54" s="534">
        <v>10.886749999999999</v>
      </c>
      <c r="Q54" s="534">
        <v>12.42423</v>
      </c>
      <c r="R54" s="534">
        <v>13.158300000000001</v>
      </c>
      <c r="S54" s="534">
        <v>14.16278</v>
      </c>
      <c r="T54" s="534">
        <v>10.53317</v>
      </c>
      <c r="U54" s="534">
        <v>10.45646</v>
      </c>
      <c r="V54" s="534">
        <v>10.699249999999999</v>
      </c>
      <c r="W54" s="534">
        <v>10.047980000000001</v>
      </c>
      <c r="X54" s="534">
        <v>10.057259999999999</v>
      </c>
      <c r="Y54" s="534">
        <v>10.681150000000001</v>
      </c>
      <c r="Z54" s="534">
        <v>11.68777</v>
      </c>
      <c r="AA54" s="534">
        <v>12.64465</v>
      </c>
      <c r="AB54" s="534">
        <v>13.22462</v>
      </c>
      <c r="AC54" s="534">
        <v>15.543889999999999</v>
      </c>
      <c r="AD54" s="534">
        <v>17.22241</v>
      </c>
      <c r="AE54" s="534">
        <v>16.98658</v>
      </c>
      <c r="AF54" s="534">
        <v>17.04325</v>
      </c>
    </row>
    <row r="55" spans="1:32">
      <c r="A55" s="22">
        <v>816</v>
      </c>
      <c r="B55" s="22" t="s">
        <v>171</v>
      </c>
      <c r="C55" s="534">
        <v>17.441590000000001</v>
      </c>
      <c r="D55" s="534">
        <v>20.190149999999999</v>
      </c>
      <c r="E55" s="534">
        <v>22.996749999999999</v>
      </c>
      <c r="F55" s="534">
        <v>25.487960000000001</v>
      </c>
      <c r="G55" s="534">
        <v>28.70168</v>
      </c>
      <c r="H55" s="534">
        <v>31.14995</v>
      </c>
      <c r="I55" s="534">
        <v>32.765619999999998</v>
      </c>
      <c r="J55" s="534">
        <v>34.974769999999999</v>
      </c>
      <c r="K55" s="534">
        <v>37.686529999999998</v>
      </c>
      <c r="L55" s="534">
        <v>40.407539999999997</v>
      </c>
      <c r="M55" s="534">
        <v>46.591000000000001</v>
      </c>
      <c r="N55" s="534">
        <v>50.93309</v>
      </c>
      <c r="O55" s="534">
        <v>57.511650000000003</v>
      </c>
      <c r="P55" s="534">
        <v>63.245379999999997</v>
      </c>
      <c r="Q55" s="534">
        <v>68.768659999999997</v>
      </c>
      <c r="R55" s="534">
        <v>77.367509999999996</v>
      </c>
      <c r="S55" s="534">
        <v>85.143289999999993</v>
      </c>
      <c r="T55" s="534">
        <v>94.218540000000004</v>
      </c>
      <c r="U55" s="534">
        <v>101.4941</v>
      </c>
      <c r="V55" s="534">
        <v>108.6542</v>
      </c>
      <c r="W55" s="534">
        <v>117.7808</v>
      </c>
      <c r="X55" s="534">
        <v>128.43549999999999</v>
      </c>
      <c r="Y55" s="534">
        <v>138.75360000000001</v>
      </c>
      <c r="Z55" s="534">
        <v>150.19669999999999</v>
      </c>
      <c r="AA55" s="534">
        <v>168.65379999999999</v>
      </c>
      <c r="AB55" s="534">
        <v>195.8698</v>
      </c>
      <c r="AC55" s="534">
        <v>221.6354</v>
      </c>
      <c r="AD55" s="534">
        <v>240.43799999999999</v>
      </c>
      <c r="AE55" s="534">
        <v>267.08</v>
      </c>
      <c r="AF55" s="534">
        <v>287.74400000000003</v>
      </c>
    </row>
    <row r="56" spans="1:32">
      <c r="A56" s="22">
        <v>130</v>
      </c>
      <c r="B56" s="22" t="s">
        <v>27</v>
      </c>
      <c r="C56" s="534">
        <v>24.918769999999999</v>
      </c>
      <c r="D56" s="534">
        <v>26.93965</v>
      </c>
      <c r="E56" s="534">
        <v>28.929169999999999</v>
      </c>
      <c r="F56" s="534">
        <v>27.550509999999999</v>
      </c>
      <c r="G56" s="534">
        <v>29.466180000000001</v>
      </c>
      <c r="H56" s="534">
        <v>31.216449999999998</v>
      </c>
      <c r="I56" s="534">
        <v>30.665130000000001</v>
      </c>
      <c r="J56" s="534">
        <v>29.946950000000001</v>
      </c>
      <c r="K56" s="534">
        <v>32.155160000000002</v>
      </c>
      <c r="L56" s="534">
        <v>34.119259999999997</v>
      </c>
      <c r="M56" s="534">
        <v>37.132629999999999</v>
      </c>
      <c r="N56" s="534">
        <v>40.052959999999999</v>
      </c>
      <c r="O56" s="534">
        <v>42.104930000000003</v>
      </c>
      <c r="P56" s="534">
        <v>41.891039999999997</v>
      </c>
      <c r="Q56" s="534">
        <v>44.977609999999999</v>
      </c>
      <c r="R56" s="534">
        <v>46.003860000000003</v>
      </c>
      <c r="S56" s="534">
        <v>47.904940000000003</v>
      </c>
      <c r="T56" s="534">
        <v>50.306690000000003</v>
      </c>
      <c r="U56" s="534">
        <v>50.294739999999997</v>
      </c>
      <c r="V56" s="534">
        <v>47.472439999999999</v>
      </c>
      <c r="W56" s="534">
        <v>52.383220000000001</v>
      </c>
      <c r="X56" s="534">
        <v>54.912089999999999</v>
      </c>
      <c r="Y56" s="534">
        <v>60.483249999999998</v>
      </c>
      <c r="Z56" s="534">
        <v>63.631230000000002</v>
      </c>
      <c r="AA56" s="534">
        <v>69.859430000000003</v>
      </c>
      <c r="AB56" s="534">
        <v>78.786959999999993</v>
      </c>
      <c r="AC56" s="534">
        <v>86.665599999999998</v>
      </c>
      <c r="AD56" s="534">
        <v>93.38185</v>
      </c>
      <c r="AE56" s="534">
        <v>104.76049999999999</v>
      </c>
      <c r="AF56" s="534">
        <v>99.098820000000003</v>
      </c>
    </row>
    <row r="57" spans="1:32">
      <c r="A57" s="22">
        <v>651</v>
      </c>
      <c r="B57" s="22" t="s">
        <v>136</v>
      </c>
      <c r="C57" s="534">
        <v>47.958350000000003</v>
      </c>
      <c r="D57" s="534">
        <v>54.507710000000003</v>
      </c>
      <c r="E57" s="534">
        <v>63.886789999999998</v>
      </c>
      <c r="F57" s="534">
        <v>73.791629999999998</v>
      </c>
      <c r="G57" s="534">
        <v>82.854799999999997</v>
      </c>
      <c r="H57" s="534">
        <v>86.667370000000005</v>
      </c>
      <c r="I57" s="534">
        <v>92.873230000000007</v>
      </c>
      <c r="J57" s="534">
        <v>87.745639999999995</v>
      </c>
      <c r="K57" s="534">
        <v>96.171229999999994</v>
      </c>
      <c r="L57" s="534">
        <v>106.01179999999999</v>
      </c>
      <c r="M57" s="534">
        <v>116.652</v>
      </c>
      <c r="N57" s="534">
        <v>123.61539999999999</v>
      </c>
      <c r="O57" s="534">
        <v>131.851</v>
      </c>
      <c r="P57" s="534">
        <v>140.54900000000001</v>
      </c>
      <c r="Q57" s="534">
        <v>149.69280000000001</v>
      </c>
      <c r="R57" s="534">
        <v>159.893</v>
      </c>
      <c r="S57" s="534">
        <v>173.5624</v>
      </c>
      <c r="T57" s="534">
        <v>186.1172</v>
      </c>
      <c r="U57" s="534">
        <v>189.43979999999999</v>
      </c>
      <c r="V57" s="534">
        <v>200.5069</v>
      </c>
      <c r="W57" s="534">
        <v>214.2784</v>
      </c>
      <c r="X57" s="534">
        <v>230.6875</v>
      </c>
      <c r="Y57" s="534">
        <v>241.85560000000001</v>
      </c>
      <c r="Z57" s="534">
        <v>261.654</v>
      </c>
      <c r="AA57" s="534">
        <v>286.14080000000001</v>
      </c>
      <c r="AB57" s="534">
        <v>310.55369999999999</v>
      </c>
      <c r="AC57" s="534">
        <v>344.81619999999998</v>
      </c>
      <c r="AD57" s="534">
        <v>373.4085</v>
      </c>
      <c r="AE57" s="534">
        <v>391.17360000000002</v>
      </c>
      <c r="AF57" s="534">
        <v>412.59460000000001</v>
      </c>
    </row>
    <row r="58" spans="1:32">
      <c r="A58" s="22">
        <v>411</v>
      </c>
      <c r="B58" s="22" t="s">
        <v>84</v>
      </c>
      <c r="C58" s="534">
        <v>7.9092800000000005E-2</v>
      </c>
      <c r="D58" s="534">
        <v>9.0500399999999995E-2</v>
      </c>
      <c r="E58" s="534">
        <v>9.4682500000000003E-2</v>
      </c>
      <c r="F58" s="534">
        <v>0.1134116</v>
      </c>
      <c r="G58" s="534">
        <v>0.11951680000000001</v>
      </c>
      <c r="H58" s="534">
        <v>0.109029</v>
      </c>
      <c r="I58" s="534">
        <v>9.9984100000000006E-2</v>
      </c>
      <c r="J58" s="534">
        <v>8.8358199999999998E-2</v>
      </c>
      <c r="K58" s="534">
        <v>0.1060946</v>
      </c>
      <c r="L58" s="534">
        <v>0.1183554</v>
      </c>
      <c r="M58" s="534">
        <v>0.1053881</v>
      </c>
      <c r="N58" s="534">
        <v>0.1066014</v>
      </c>
      <c r="O58" s="534">
        <v>0.12094439999999999</v>
      </c>
      <c r="P58" s="534">
        <v>0.13118569999999999</v>
      </c>
      <c r="Q58" s="534">
        <v>0.10702159999999999</v>
      </c>
      <c r="R58" s="534">
        <v>0.2084638</v>
      </c>
      <c r="S58" s="534">
        <v>0.34883160000000002</v>
      </c>
      <c r="T58" s="534">
        <v>0.74595959999999994</v>
      </c>
      <c r="U58" s="534">
        <v>0.62018399999999996</v>
      </c>
      <c r="V58" s="534">
        <v>1.0533049999999999</v>
      </c>
      <c r="W58" s="534">
        <v>1.7930299999999999</v>
      </c>
      <c r="X58" s="534">
        <v>2.5292840000000001</v>
      </c>
      <c r="Y58" s="534">
        <v>3.2561659999999999</v>
      </c>
      <c r="Z58" s="534">
        <v>3.3860869999999998</v>
      </c>
      <c r="AA58" s="534">
        <v>4.747954</v>
      </c>
      <c r="AB58" s="534">
        <v>8.7418870000000002</v>
      </c>
      <c r="AC58" s="534">
        <v>10.164720000000001</v>
      </c>
      <c r="AD58" s="534">
        <v>12.2575</v>
      </c>
      <c r="AE58" s="534">
        <v>25.504429999999999</v>
      </c>
      <c r="AF58" s="534">
        <v>19.730360000000001</v>
      </c>
    </row>
    <row r="59" spans="1:32">
      <c r="A59" s="22">
        <v>531</v>
      </c>
      <c r="B59" s="22" t="s">
        <v>113</v>
      </c>
      <c r="N59" s="534"/>
      <c r="O59" s="534">
        <v>1.2795879999999999</v>
      </c>
      <c r="P59" s="534">
        <v>1.61765</v>
      </c>
      <c r="Q59" s="534">
        <v>2.0240070000000001</v>
      </c>
      <c r="R59" s="534">
        <v>2.176294</v>
      </c>
      <c r="S59" s="534">
        <v>2.3082600000000002</v>
      </c>
      <c r="T59" s="534">
        <v>2.8900779999999999</v>
      </c>
      <c r="U59" s="534">
        <v>3.2151619999999999</v>
      </c>
      <c r="V59" s="534">
        <v>3.3113920000000001</v>
      </c>
      <c r="W59" s="534">
        <v>3.0626959999999999</v>
      </c>
      <c r="X59" s="534">
        <v>3.272834</v>
      </c>
      <c r="Y59" s="534">
        <v>3.3078210000000001</v>
      </c>
      <c r="Z59" s="534">
        <v>3.437424</v>
      </c>
      <c r="AA59" s="534">
        <v>3.5734849999999998</v>
      </c>
      <c r="AB59" s="534">
        <v>3.6257820000000001</v>
      </c>
      <c r="AC59" s="534">
        <v>3.565156</v>
      </c>
      <c r="AD59" s="534">
        <v>3.7978010000000002</v>
      </c>
      <c r="AE59" s="534">
        <v>3.6564860000000001</v>
      </c>
      <c r="AF59" s="534">
        <v>3.8929819999999999</v>
      </c>
    </row>
    <row r="60" spans="1:32">
      <c r="A60" s="22">
        <v>366</v>
      </c>
      <c r="B60" s="22" t="s">
        <v>68</v>
      </c>
      <c r="M60" s="534">
        <v>10.251049999999999</v>
      </c>
      <c r="N60" s="534">
        <v>11.314679999999999</v>
      </c>
      <c r="O60" s="534">
        <v>8.4133630000000004</v>
      </c>
      <c r="P60" s="534">
        <v>7.9262569999999997</v>
      </c>
      <c r="Q60" s="534">
        <v>7.7925420000000001</v>
      </c>
      <c r="R60" s="534">
        <v>8.7241920000000004</v>
      </c>
      <c r="S60" s="534">
        <v>9.1916679999999999</v>
      </c>
      <c r="T60" s="534">
        <v>10.36027</v>
      </c>
      <c r="U60" s="534">
        <v>10.96716</v>
      </c>
      <c r="V60" s="534">
        <v>11.187099999999999</v>
      </c>
      <c r="W60" s="534">
        <v>12.69111</v>
      </c>
      <c r="X60" s="534">
        <v>14.021179999999999</v>
      </c>
      <c r="Y60" s="534">
        <v>15.18144</v>
      </c>
      <c r="Z60" s="534">
        <v>16.969370000000001</v>
      </c>
      <c r="AA60" s="534">
        <v>18.642569999999999</v>
      </c>
      <c r="AB60" s="534">
        <v>21.515789999999999</v>
      </c>
      <c r="AC60" s="534">
        <v>24.927959999999999</v>
      </c>
      <c r="AD60" s="534">
        <v>28.145299999999999</v>
      </c>
      <c r="AE60" s="534">
        <v>27.817499999999999</v>
      </c>
      <c r="AF60" s="534">
        <v>24.019909999999999</v>
      </c>
    </row>
    <row r="61" spans="1:32">
      <c r="A61" s="22">
        <v>530</v>
      </c>
      <c r="B61" s="22" t="s">
        <v>112</v>
      </c>
      <c r="C61" s="534">
        <v>8.7664849999999994</v>
      </c>
      <c r="D61" s="534">
        <v>9.8956079999999993</v>
      </c>
      <c r="E61" s="534">
        <v>10.689870000000001</v>
      </c>
      <c r="F61" s="534">
        <v>11.55667</v>
      </c>
      <c r="G61" s="534">
        <v>11.78459</v>
      </c>
      <c r="H61" s="534">
        <v>11.598179999999999</v>
      </c>
      <c r="I61" s="534">
        <v>12.36858</v>
      </c>
      <c r="J61" s="534">
        <v>11.17839</v>
      </c>
      <c r="K61" s="534">
        <v>14.832710000000001</v>
      </c>
      <c r="L61" s="534">
        <v>14.78157</v>
      </c>
      <c r="M61" s="534">
        <v>15.57178</v>
      </c>
      <c r="N61" s="534">
        <v>16.081109999999999</v>
      </c>
      <c r="O61" s="534">
        <v>14.846439999999999</v>
      </c>
      <c r="P61" s="534">
        <v>16.734719999999999</v>
      </c>
      <c r="Q61" s="534">
        <v>16.777229999999999</v>
      </c>
      <c r="R61" s="534">
        <v>18.276260000000001</v>
      </c>
      <c r="S61" s="534">
        <v>19.93796</v>
      </c>
      <c r="T61" s="534">
        <v>24.251049999999999</v>
      </c>
      <c r="U61" s="534">
        <v>24.209990000000001</v>
      </c>
      <c r="V61" s="534">
        <v>25.607810000000001</v>
      </c>
      <c r="W61" s="534">
        <v>26.474329999999998</v>
      </c>
      <c r="X61" s="534">
        <v>28.948879999999999</v>
      </c>
      <c r="Y61" s="534">
        <v>29.229890000000001</v>
      </c>
      <c r="Z61" s="534">
        <v>28.730830000000001</v>
      </c>
      <c r="AA61" s="534">
        <v>31.08203</v>
      </c>
      <c r="AB61" s="534">
        <v>38.237879999999997</v>
      </c>
      <c r="AC61" s="534">
        <v>44.679160000000003</v>
      </c>
      <c r="AD61" s="534">
        <v>53.074289999999998</v>
      </c>
      <c r="AE61" s="534">
        <v>62.147779999999997</v>
      </c>
      <c r="AF61" s="534">
        <v>72.254519999999999</v>
      </c>
    </row>
    <row r="62" spans="1:32">
      <c r="A62" s="22">
        <v>860</v>
      </c>
      <c r="B62" s="22" t="s">
        <v>197</v>
      </c>
      <c r="N62" s="534"/>
      <c r="O62" s="534"/>
      <c r="P62" s="534"/>
      <c r="Q62" s="534"/>
      <c r="R62" s="534"/>
      <c r="S62" s="534"/>
      <c r="T62" s="534"/>
      <c r="U62" s="534"/>
      <c r="V62" s="534"/>
      <c r="W62" s="534">
        <v>0.72690999999999995</v>
      </c>
      <c r="X62" s="534">
        <v>0.90963240000000001</v>
      </c>
      <c r="Y62" s="534">
        <v>0.9066263</v>
      </c>
      <c r="Z62" s="534">
        <v>0.88195100000000004</v>
      </c>
      <c r="AA62" s="534">
        <v>0.91353980000000001</v>
      </c>
      <c r="AB62" s="534">
        <v>0.95785869999999995</v>
      </c>
      <c r="AC62" s="534">
        <v>0.988506</v>
      </c>
      <c r="AD62" s="534">
        <v>1.2502949999999999</v>
      </c>
      <c r="AE62" s="534">
        <v>1.2731969999999999</v>
      </c>
      <c r="AF62" s="534">
        <v>1.463355</v>
      </c>
    </row>
    <row r="63" spans="1:32">
      <c r="A63" s="22">
        <v>950</v>
      </c>
      <c r="B63" s="22" t="s">
        <v>184</v>
      </c>
      <c r="C63" s="534">
        <v>1.111996</v>
      </c>
      <c r="D63" s="534">
        <v>1.1354919999999999</v>
      </c>
      <c r="E63" s="534">
        <v>1.1659740000000001</v>
      </c>
      <c r="F63" s="534">
        <v>1.1860139999999999</v>
      </c>
      <c r="G63" s="534">
        <v>1.2966040000000001</v>
      </c>
      <c r="H63" s="534">
        <v>1.37531</v>
      </c>
      <c r="I63" s="534">
        <v>1.425424</v>
      </c>
      <c r="J63" s="534">
        <v>1.4514860000000001</v>
      </c>
      <c r="K63" s="534">
        <v>1.549086</v>
      </c>
      <c r="L63" s="534">
        <v>1.768875</v>
      </c>
      <c r="M63" s="534">
        <v>2.0030260000000002</v>
      </c>
      <c r="N63" s="534">
        <v>1.998216</v>
      </c>
      <c r="O63" s="534">
        <v>2.1427149999999999</v>
      </c>
      <c r="P63" s="534">
        <v>2.2647740000000001</v>
      </c>
      <c r="Q63" s="534">
        <v>2.4045749999999999</v>
      </c>
      <c r="R63" s="534">
        <v>2.5040269999999998</v>
      </c>
      <c r="S63" s="534">
        <v>2.653489</v>
      </c>
      <c r="T63" s="534">
        <v>2.6334110000000002</v>
      </c>
      <c r="U63" s="534">
        <v>2.7247439999999998</v>
      </c>
      <c r="V63" s="534">
        <v>2.9743729999999999</v>
      </c>
      <c r="W63" s="534">
        <v>2.9635820000000002</v>
      </c>
      <c r="X63" s="534">
        <v>3.0833200000000001</v>
      </c>
      <c r="Y63" s="534">
        <v>3.26396</v>
      </c>
      <c r="Z63" s="534">
        <v>3.3724430000000001</v>
      </c>
      <c r="AA63" s="534">
        <v>3.622077</v>
      </c>
      <c r="AB63" s="534">
        <v>3.7781579999999999</v>
      </c>
      <c r="AC63" s="534">
        <v>3.9747970000000001</v>
      </c>
      <c r="AD63" s="534">
        <v>4.0587489999999997</v>
      </c>
      <c r="AE63" s="534">
        <v>4.2056459999999998</v>
      </c>
      <c r="AF63" s="534">
        <v>4.0214600000000003</v>
      </c>
    </row>
    <row r="64" spans="1:32">
      <c r="A64" s="22">
        <v>375</v>
      </c>
      <c r="B64" s="22" t="s">
        <v>76</v>
      </c>
      <c r="C64" s="534">
        <v>44.417479999999998</v>
      </c>
      <c r="D64" s="534">
        <v>49.56765</v>
      </c>
      <c r="E64" s="534">
        <v>54.013629999999999</v>
      </c>
      <c r="F64" s="534">
        <v>57.279330000000002</v>
      </c>
      <c r="G64" s="534">
        <v>62.306260000000002</v>
      </c>
      <c r="H64" s="534">
        <v>65.105459999999994</v>
      </c>
      <c r="I64" s="534">
        <v>68.584270000000004</v>
      </c>
      <c r="J64" s="534">
        <v>73.425049999999999</v>
      </c>
      <c r="K64" s="534">
        <v>80.654719999999998</v>
      </c>
      <c r="L64" s="534">
        <v>88.867040000000003</v>
      </c>
      <c r="M64" s="534">
        <v>91.205749999999995</v>
      </c>
      <c r="N64" s="534">
        <v>87.260050000000007</v>
      </c>
      <c r="O64" s="534">
        <v>84.724530000000001</v>
      </c>
      <c r="P64" s="534">
        <v>84.754840000000002</v>
      </c>
      <c r="Q64" s="534">
        <v>90.236019999999996</v>
      </c>
      <c r="R64" s="534">
        <v>98.887720000000002</v>
      </c>
      <c r="S64" s="534">
        <v>102.77330000000001</v>
      </c>
      <c r="T64" s="534">
        <v>111.2093</v>
      </c>
      <c r="U64" s="534">
        <v>119.06310000000001</v>
      </c>
      <c r="V64" s="534">
        <v>124.5155</v>
      </c>
      <c r="W64" s="534">
        <v>132.44460000000001</v>
      </c>
      <c r="X64" s="534">
        <v>139.04900000000001</v>
      </c>
      <c r="Y64" s="534">
        <v>143.4057</v>
      </c>
      <c r="Z64" s="534">
        <v>148.2705</v>
      </c>
      <c r="AA64" s="534">
        <v>156.9015</v>
      </c>
      <c r="AB64" s="534">
        <v>165.8837</v>
      </c>
      <c r="AC64" s="534">
        <v>176.73679999999999</v>
      </c>
      <c r="AD64" s="534">
        <v>192.29769999999999</v>
      </c>
      <c r="AE64" s="534">
        <v>197.45500000000001</v>
      </c>
      <c r="AF64" s="33">
        <v>182.51618999999999</v>
      </c>
    </row>
    <row r="65" spans="1:32">
      <c r="A65" s="22">
        <v>220</v>
      </c>
      <c r="B65" s="22" t="s">
        <v>40</v>
      </c>
      <c r="C65" s="534">
        <v>559.4135</v>
      </c>
      <c r="D65" s="534">
        <v>608.90369999999996</v>
      </c>
      <c r="E65" s="534">
        <v>656.6653</v>
      </c>
      <c r="F65" s="534">
        <v>691.96289999999999</v>
      </c>
      <c r="G65" s="534">
        <v>727.31320000000005</v>
      </c>
      <c r="H65" s="534">
        <v>762.49710000000005</v>
      </c>
      <c r="I65" s="534">
        <v>815.23689999999999</v>
      </c>
      <c r="J65" s="534">
        <v>863.00279999999998</v>
      </c>
      <c r="K65" s="534">
        <v>935.94970000000001</v>
      </c>
      <c r="L65" s="534">
        <v>1006.105</v>
      </c>
      <c r="M65" s="534">
        <v>1075.2260000000001</v>
      </c>
      <c r="N65" s="534">
        <v>1119.5540000000001</v>
      </c>
      <c r="O65" s="534">
        <v>1164.432</v>
      </c>
      <c r="P65" s="534">
        <v>1177.835</v>
      </c>
      <c r="Q65" s="534">
        <v>1227.93</v>
      </c>
      <c r="R65" s="534">
        <v>1278.4549999999999</v>
      </c>
      <c r="S65" s="534">
        <v>1315.144</v>
      </c>
      <c r="T65" s="534">
        <v>1366.213</v>
      </c>
      <c r="U65" s="534">
        <v>1425.2449999999999</v>
      </c>
      <c r="V65" s="534">
        <v>1494.0630000000001</v>
      </c>
      <c r="W65" s="534">
        <v>1576.914</v>
      </c>
      <c r="X65" s="534">
        <v>1644.586</v>
      </c>
      <c r="Y65" s="534">
        <v>1700.662</v>
      </c>
      <c r="Z65" s="534">
        <v>1756.498</v>
      </c>
      <c r="AA65" s="534">
        <v>1850.3789999999999</v>
      </c>
      <c r="AB65" s="534">
        <v>1948.596</v>
      </c>
      <c r="AC65" s="534">
        <v>2050.0500000000002</v>
      </c>
      <c r="AD65" s="534">
        <v>2175.6149999999998</v>
      </c>
      <c r="AE65" s="534">
        <v>2260.0659999999998</v>
      </c>
      <c r="AF65" s="534">
        <v>2215.1129999999998</v>
      </c>
    </row>
    <row r="66" spans="1:32">
      <c r="A66" s="22">
        <v>987</v>
      </c>
      <c r="B66" s="22" t="s">
        <v>189</v>
      </c>
      <c r="C66" s="534">
        <v>0.10336239999999999</v>
      </c>
      <c r="D66" s="534">
        <v>0.124151</v>
      </c>
      <c r="E66" s="534">
        <v>0.12718660000000001</v>
      </c>
      <c r="F66" s="534">
        <v>0.1339457</v>
      </c>
      <c r="G66" s="534">
        <v>0.1331522</v>
      </c>
      <c r="H66" s="534">
        <v>0.160723</v>
      </c>
      <c r="I66" s="534">
        <v>0.17655879999999999</v>
      </c>
      <c r="J66" s="534">
        <v>0.18610740000000001</v>
      </c>
      <c r="K66" s="534">
        <v>0.20389779999999999</v>
      </c>
      <c r="L66" s="534">
        <v>0.21246979999999999</v>
      </c>
      <c r="M66" s="534">
        <v>0.2292862</v>
      </c>
      <c r="N66" s="534">
        <v>0.25408770000000003</v>
      </c>
      <c r="O66" s="534">
        <v>0.26646439999999999</v>
      </c>
      <c r="P66" s="534">
        <v>0.2903133</v>
      </c>
      <c r="Q66" s="534">
        <v>0.30361919999999998</v>
      </c>
      <c r="R66" s="534">
        <v>0.31408639999999999</v>
      </c>
      <c r="S66" s="534">
        <v>0.30363649999999998</v>
      </c>
      <c r="T66" s="534">
        <v>0.29236269999999998</v>
      </c>
      <c r="U66" s="534">
        <v>0.29081069999999998</v>
      </c>
      <c r="V66" s="534">
        <v>0.2866476</v>
      </c>
      <c r="W66" s="534">
        <v>0.31993260000000001</v>
      </c>
      <c r="X66" s="534">
        <v>0.32766000000000001</v>
      </c>
      <c r="Y66" s="534">
        <v>0.33768500000000001</v>
      </c>
      <c r="Z66" s="534">
        <v>0.3448078</v>
      </c>
      <c r="AA66" s="534">
        <v>0.35394369999999997</v>
      </c>
      <c r="AB66" s="534">
        <v>0.37571559999999998</v>
      </c>
      <c r="AC66" s="534">
        <v>0.3880787</v>
      </c>
      <c r="AD66" s="534">
        <v>0.40134789999999998</v>
      </c>
      <c r="AE66" s="534">
        <v>0.40470159999999999</v>
      </c>
      <c r="AF66" s="534">
        <v>0.40444390000000002</v>
      </c>
    </row>
    <row r="67" spans="1:32">
      <c r="A67" s="22">
        <v>481</v>
      </c>
      <c r="B67" s="22" t="s">
        <v>100</v>
      </c>
      <c r="C67" s="534">
        <v>4.0794079999999999</v>
      </c>
      <c r="D67" s="534">
        <v>4.866428</v>
      </c>
      <c r="E67" s="534">
        <v>5.1455330000000004</v>
      </c>
      <c r="F67" s="534">
        <v>5.0737269999999999</v>
      </c>
      <c r="G67" s="534">
        <v>5.5261430000000002</v>
      </c>
      <c r="H67" s="534">
        <v>6.0293720000000004</v>
      </c>
      <c r="I67" s="534">
        <v>3.8932389999999999</v>
      </c>
      <c r="J67" s="534">
        <v>3.4003890000000001</v>
      </c>
      <c r="K67" s="534">
        <v>3.2489089999999998</v>
      </c>
      <c r="L67" s="534">
        <v>6.4627530000000002</v>
      </c>
      <c r="M67" s="534">
        <v>7.1486989999999997</v>
      </c>
      <c r="N67" s="534">
        <v>7.6319629999999998</v>
      </c>
      <c r="O67" s="534">
        <v>7.2300180000000003</v>
      </c>
      <c r="P67" s="534">
        <v>7.5542179999999997</v>
      </c>
      <c r="Q67" s="534">
        <v>8.0815719999999995</v>
      </c>
      <c r="R67" s="534">
        <v>8.4820100000000007</v>
      </c>
      <c r="S67" s="534">
        <v>9.6558499999999992</v>
      </c>
      <c r="T67" s="534">
        <v>11.51909</v>
      </c>
      <c r="U67" s="534">
        <v>10.246079999999999</v>
      </c>
      <c r="V67" s="534">
        <v>10.66127</v>
      </c>
      <c r="W67" s="534">
        <v>10.152060000000001</v>
      </c>
      <c r="X67" s="534">
        <v>10.41539</v>
      </c>
      <c r="Y67" s="534">
        <v>9.8724120000000006</v>
      </c>
      <c r="Z67" s="534">
        <v>10.742990000000001</v>
      </c>
      <c r="AA67" s="534">
        <v>11.938750000000001</v>
      </c>
      <c r="AB67" s="534">
        <v>14.37321</v>
      </c>
      <c r="AC67" s="534">
        <v>15.357010000000001</v>
      </c>
      <c r="AD67" s="534">
        <v>17.646979999999999</v>
      </c>
      <c r="AE67" s="534">
        <v>21.145589999999999</v>
      </c>
      <c r="AF67" s="534">
        <v>17.21509</v>
      </c>
    </row>
    <row r="68" spans="1:32">
      <c r="A68" s="22">
        <v>420</v>
      </c>
      <c r="B68" s="22" t="s">
        <v>85</v>
      </c>
      <c r="C68" s="534">
        <v>0.24060010000000001</v>
      </c>
      <c r="D68" s="534">
        <v>0.28905530000000002</v>
      </c>
      <c r="E68" s="534">
        <v>0.38300469999999998</v>
      </c>
      <c r="F68" s="534">
        <v>0.36491129999999999</v>
      </c>
      <c r="G68" s="534">
        <v>0.38216800000000001</v>
      </c>
      <c r="H68" s="534">
        <v>0.40763630000000001</v>
      </c>
      <c r="I68" s="534">
        <v>0.42450310000000002</v>
      </c>
      <c r="J68" s="534">
        <v>0.44665510000000003</v>
      </c>
      <c r="K68" s="534">
        <v>0.47768939999999999</v>
      </c>
      <c r="L68" s="534">
        <v>0.52187280000000003</v>
      </c>
      <c r="M68" s="534">
        <v>0.55410979999999999</v>
      </c>
      <c r="N68" s="534">
        <v>0.60201360000000004</v>
      </c>
      <c r="O68" s="534">
        <v>0.61638859999999995</v>
      </c>
      <c r="P68" s="534">
        <v>0.67162120000000003</v>
      </c>
      <c r="Q68" s="534">
        <v>0.68428270000000002</v>
      </c>
      <c r="R68" s="534">
        <v>0.69918060000000004</v>
      </c>
      <c r="S68" s="534">
        <v>0.72763679999999997</v>
      </c>
      <c r="T68" s="534">
        <v>0.77789050000000004</v>
      </c>
      <c r="U68" s="534">
        <v>0.78563950000000005</v>
      </c>
      <c r="V68" s="534">
        <v>0.84931480000000004</v>
      </c>
      <c r="W68" s="534">
        <v>0.94163640000000004</v>
      </c>
      <c r="X68" s="534">
        <v>1.0023299999999999</v>
      </c>
      <c r="Y68" s="534">
        <v>0.99387440000000005</v>
      </c>
      <c r="Z68" s="534">
        <v>1.097162</v>
      </c>
      <c r="AA68" s="534">
        <v>1.2562770000000001</v>
      </c>
      <c r="AB68" s="534">
        <v>1.7891140000000001</v>
      </c>
      <c r="AC68" s="534">
        <v>1.914536</v>
      </c>
      <c r="AD68" s="534">
        <v>2.2991920000000001</v>
      </c>
      <c r="AE68" s="534">
        <v>2.6160320000000001</v>
      </c>
      <c r="AF68" s="534">
        <v>2.7711209999999999</v>
      </c>
    </row>
    <row r="69" spans="1:32">
      <c r="A69" s="22">
        <v>452</v>
      </c>
      <c r="B69" s="22" t="s">
        <v>96</v>
      </c>
      <c r="C69" s="534">
        <v>6.400906</v>
      </c>
      <c r="D69" s="534">
        <v>6.6503730000000001</v>
      </c>
      <c r="E69" s="534">
        <v>6.0155289999999999</v>
      </c>
      <c r="F69" s="534">
        <v>6.235455</v>
      </c>
      <c r="G69" s="534">
        <v>7.0660819999999998</v>
      </c>
      <c r="H69" s="534">
        <v>7.5972379999999999</v>
      </c>
      <c r="I69" s="534">
        <v>7.9960269999999998</v>
      </c>
      <c r="J69" s="534">
        <v>8.5789059999999999</v>
      </c>
      <c r="K69" s="534">
        <v>9.6305340000000008</v>
      </c>
      <c r="L69" s="534">
        <v>9.9656009999999995</v>
      </c>
      <c r="M69" s="534">
        <v>10.66682</v>
      </c>
      <c r="N69" s="534">
        <v>11.914490000000001</v>
      </c>
      <c r="O69" s="534">
        <v>11.82741</v>
      </c>
      <c r="P69" s="534">
        <v>12.02948</v>
      </c>
      <c r="Q69" s="534">
        <v>13.026439999999999</v>
      </c>
      <c r="R69" s="534">
        <v>13.810689999999999</v>
      </c>
      <c r="S69" s="534">
        <v>14.34432</v>
      </c>
      <c r="T69" s="534">
        <v>14.646599999999999</v>
      </c>
      <c r="U69" s="534">
        <v>16.373640000000002</v>
      </c>
      <c r="V69" s="534">
        <v>16.502050000000001</v>
      </c>
      <c r="W69" s="534">
        <v>16.439129999999999</v>
      </c>
      <c r="X69" s="534">
        <v>17.907019999999999</v>
      </c>
      <c r="Y69" s="534">
        <v>19.38409</v>
      </c>
      <c r="Z69" s="534">
        <v>21.409739999999999</v>
      </c>
      <c r="AA69" s="534">
        <v>21.987010000000001</v>
      </c>
      <c r="AB69" s="534">
        <v>23.056480000000001</v>
      </c>
      <c r="AC69" s="534">
        <v>25.695440000000001</v>
      </c>
      <c r="AD69" s="534">
        <v>29.681319999999999</v>
      </c>
      <c r="AE69" s="534">
        <v>32.901780000000002</v>
      </c>
      <c r="AF69" s="534">
        <v>38.648519999999998</v>
      </c>
    </row>
    <row r="70" spans="1:32">
      <c r="A70" s="22">
        <v>255</v>
      </c>
      <c r="B70" s="22" t="s">
        <v>47</v>
      </c>
      <c r="C70" s="534">
        <v>793.96460000000002</v>
      </c>
      <c r="D70" s="534">
        <v>854.96839999999997</v>
      </c>
      <c r="E70" s="534">
        <v>896.81039999999996</v>
      </c>
      <c r="F70" s="534">
        <v>947.52279999999996</v>
      </c>
      <c r="G70" s="534">
        <v>1002.199</v>
      </c>
      <c r="H70" s="534">
        <v>1052.74</v>
      </c>
      <c r="I70" s="534">
        <v>1136.8420000000001</v>
      </c>
      <c r="J70" s="534">
        <v>1203.1030000000001</v>
      </c>
      <c r="K70" s="534">
        <v>1288.6579999999999</v>
      </c>
      <c r="L70" s="534">
        <v>1377.877</v>
      </c>
      <c r="M70" s="534">
        <v>1510.6980000000001</v>
      </c>
      <c r="N70" s="534">
        <v>1631.289</v>
      </c>
      <c r="O70" s="534">
        <v>1715.9179999999999</v>
      </c>
      <c r="P70" s="534">
        <v>1745.683</v>
      </c>
      <c r="Q70" s="534">
        <v>1830.6179999999999</v>
      </c>
      <c r="R70" s="534">
        <v>1910.616</v>
      </c>
      <c r="S70" s="534">
        <v>1957.0930000000001</v>
      </c>
      <c r="T70" s="534">
        <v>2008.58</v>
      </c>
      <c r="U70" s="534">
        <v>2067.9520000000002</v>
      </c>
      <c r="V70" s="534">
        <v>2146.6289999999999</v>
      </c>
      <c r="W70" s="534">
        <v>2234.538</v>
      </c>
      <c r="X70" s="534">
        <v>2311.3620000000001</v>
      </c>
      <c r="Y70" s="534">
        <v>2363.5619999999999</v>
      </c>
      <c r="Z70" s="534">
        <v>2416.9389999999999</v>
      </c>
      <c r="AA70" s="534">
        <v>2511.6979999999999</v>
      </c>
      <c r="AB70" s="534">
        <v>2605.9490000000001</v>
      </c>
      <c r="AC70" s="534">
        <v>2769.4810000000002</v>
      </c>
      <c r="AD70" s="534">
        <v>2942.48</v>
      </c>
      <c r="AE70" s="534">
        <v>3058.54</v>
      </c>
      <c r="AF70" s="534">
        <v>2964.652</v>
      </c>
    </row>
    <row r="71" spans="1:32">
      <c r="A71" s="22">
        <v>404</v>
      </c>
      <c r="B71" s="22" t="s">
        <v>83</v>
      </c>
      <c r="C71" s="534">
        <v>0.19266559999999999</v>
      </c>
      <c r="D71" s="534">
        <v>0.27224490000000001</v>
      </c>
      <c r="E71" s="534">
        <v>0.29866989999999999</v>
      </c>
      <c r="F71" s="534">
        <v>0.30471189999999998</v>
      </c>
      <c r="G71" s="534">
        <v>0.33639479999999999</v>
      </c>
      <c r="H71" s="534">
        <v>0.3331556</v>
      </c>
      <c r="I71" s="534">
        <v>0.37686360000000002</v>
      </c>
      <c r="J71" s="534">
        <v>0.4091612</v>
      </c>
      <c r="K71" s="534">
        <v>0.45042280000000001</v>
      </c>
      <c r="L71" s="534">
        <v>0.47842990000000002</v>
      </c>
      <c r="M71" s="534">
        <v>0.52519950000000004</v>
      </c>
      <c r="N71" s="534">
        <v>0.56849519999999998</v>
      </c>
      <c r="O71" s="534">
        <v>0.4226104</v>
      </c>
      <c r="P71" s="534">
        <v>0.49156660000000002</v>
      </c>
      <c r="Q71" s="534">
        <v>0.52807870000000001</v>
      </c>
      <c r="R71" s="534">
        <v>0.54786360000000001</v>
      </c>
      <c r="S71" s="534">
        <v>0.63279399999999997</v>
      </c>
      <c r="T71" s="534">
        <v>0.65760649999999998</v>
      </c>
      <c r="U71" s="534">
        <v>0.49246620000000002</v>
      </c>
      <c r="V71" s="534">
        <v>0.55104330000000001</v>
      </c>
      <c r="W71" s="534">
        <v>0.62491810000000003</v>
      </c>
      <c r="X71" s="534">
        <v>0.58828729999999996</v>
      </c>
      <c r="Y71" s="534">
        <v>0.51078849999999998</v>
      </c>
      <c r="Z71" s="534">
        <v>0.55105139999999997</v>
      </c>
      <c r="AA71" s="534">
        <v>0.54715670000000005</v>
      </c>
      <c r="AB71" s="534">
        <v>1.122468</v>
      </c>
      <c r="AC71" s="534">
        <v>1.1560569999999999</v>
      </c>
      <c r="AD71" s="534">
        <v>1.2310700000000001</v>
      </c>
      <c r="AE71" s="534">
        <v>1.213592</v>
      </c>
      <c r="AF71" s="534">
        <v>1.237819</v>
      </c>
    </row>
    <row r="72" spans="1:32">
      <c r="A72" s="22">
        <v>350</v>
      </c>
      <c r="B72" s="22" t="s">
        <v>62</v>
      </c>
      <c r="C72" s="534">
        <v>77.601179999999999</v>
      </c>
      <c r="D72" s="534">
        <v>84.809489999999997</v>
      </c>
      <c r="E72" s="534">
        <v>87.045270000000002</v>
      </c>
      <c r="F72" s="534">
        <v>89.411420000000007</v>
      </c>
      <c r="G72" s="534">
        <v>94.010729999999995</v>
      </c>
      <c r="H72" s="534">
        <v>98.683700000000002</v>
      </c>
      <c r="I72" s="534">
        <v>102.3236</v>
      </c>
      <c r="J72" s="534">
        <v>103.7976</v>
      </c>
      <c r="K72" s="534">
        <v>112.5151</v>
      </c>
      <c r="L72" s="534">
        <v>120.46550000000001</v>
      </c>
      <c r="M72" s="534">
        <v>125.828</v>
      </c>
      <c r="N72" s="534">
        <v>135.15989999999999</v>
      </c>
      <c r="O72" s="534">
        <v>138.93639999999999</v>
      </c>
      <c r="P72" s="534">
        <v>140.6626</v>
      </c>
      <c r="Q72" s="534">
        <v>147.4631</v>
      </c>
      <c r="R72" s="534">
        <v>154.0498</v>
      </c>
      <c r="S72" s="534">
        <v>160.8186</v>
      </c>
      <c r="T72" s="534">
        <v>169.2414</v>
      </c>
      <c r="U72" s="534">
        <v>176.08</v>
      </c>
      <c r="V72" s="534">
        <v>184.60140000000001</v>
      </c>
      <c r="W72" s="534">
        <v>195.58709999999999</v>
      </c>
      <c r="X72" s="534">
        <v>208.2962</v>
      </c>
      <c r="Y72" s="534">
        <v>222.34520000000001</v>
      </c>
      <c r="Z72" s="534">
        <v>240.94319999999999</v>
      </c>
      <c r="AA72" s="534">
        <v>261.16480000000001</v>
      </c>
      <c r="AB72" s="534">
        <v>274.43709999999999</v>
      </c>
      <c r="AC72" s="534">
        <v>296.8972</v>
      </c>
      <c r="AD72" s="534">
        <v>318.79270000000002</v>
      </c>
      <c r="AE72" s="534">
        <v>331.82429999999999</v>
      </c>
      <c r="AF72" s="534">
        <v>324.27269999999999</v>
      </c>
    </row>
    <row r="73" spans="1:32">
      <c r="A73" s="22">
        <v>372</v>
      </c>
      <c r="B73" s="22" t="s">
        <v>74</v>
      </c>
      <c r="N73" s="534"/>
      <c r="O73" s="534"/>
      <c r="P73" s="534">
        <v>8.7377529999999997</v>
      </c>
      <c r="Q73" s="534">
        <v>7.892245</v>
      </c>
      <c r="R73" s="534">
        <v>8.0401500000000006</v>
      </c>
      <c r="S73" s="534">
        <v>10.45674</v>
      </c>
      <c r="T73" s="534">
        <v>10.72232</v>
      </c>
      <c r="U73" s="534">
        <v>10.59343</v>
      </c>
      <c r="V73" s="534">
        <v>10.765879999999999</v>
      </c>
      <c r="W73" s="534">
        <v>12.35994</v>
      </c>
      <c r="X73" s="534">
        <v>12.39134</v>
      </c>
      <c r="Y73" s="534">
        <v>12.95406</v>
      </c>
      <c r="Z73" s="534">
        <v>13.90555</v>
      </c>
      <c r="AA73" s="534">
        <v>15.83311</v>
      </c>
      <c r="AB73" s="534">
        <v>17.86872</v>
      </c>
      <c r="AC73" s="534">
        <v>20.738140000000001</v>
      </c>
      <c r="AD73" s="534">
        <v>23.25235</v>
      </c>
      <c r="AE73" s="534">
        <v>25.381229999999999</v>
      </c>
      <c r="AF73" s="534">
        <v>25.551749999999998</v>
      </c>
    </row>
    <row r="74" spans="1:32">
      <c r="A74" s="22">
        <v>55</v>
      </c>
      <c r="B74" s="22" t="s">
        <v>10</v>
      </c>
      <c r="C74" s="534">
        <v>0.23524149999999999</v>
      </c>
      <c r="D74" s="534">
        <v>0.2810916</v>
      </c>
      <c r="E74" s="534">
        <v>0.31191049999999998</v>
      </c>
      <c r="F74" s="534">
        <v>0.32306259999999998</v>
      </c>
      <c r="G74" s="534">
        <v>0.33620299999999997</v>
      </c>
      <c r="H74" s="534">
        <v>0.36747289999999999</v>
      </c>
      <c r="I74" s="534">
        <v>0.39894289999999999</v>
      </c>
      <c r="J74" s="534">
        <v>0.48498000000000002</v>
      </c>
      <c r="K74" s="534">
        <v>0.51313390000000003</v>
      </c>
      <c r="L74" s="534">
        <v>0.58111849999999998</v>
      </c>
      <c r="M74" s="534">
        <v>0.65070090000000003</v>
      </c>
      <c r="N74" s="534">
        <v>0.66927680000000001</v>
      </c>
      <c r="O74" s="534">
        <v>0.65224729999999997</v>
      </c>
      <c r="P74" s="534">
        <v>0.68056410000000001</v>
      </c>
      <c r="Q74" s="534">
        <v>0.75048599999999999</v>
      </c>
      <c r="R74" s="534">
        <v>0.72934719999999997</v>
      </c>
      <c r="S74" s="534">
        <v>0.8012764</v>
      </c>
      <c r="T74" s="534">
        <v>0.93927340000000004</v>
      </c>
      <c r="U74" s="534">
        <v>0.98820589999999997</v>
      </c>
      <c r="V74" s="534">
        <v>1.06694</v>
      </c>
      <c r="W74" s="534">
        <v>1.235231</v>
      </c>
      <c r="X74" s="534">
        <v>1.1835960000000001</v>
      </c>
      <c r="Y74" s="534">
        <v>1.214178</v>
      </c>
      <c r="Z74" s="534">
        <v>1.3573789999999999</v>
      </c>
      <c r="AA74" s="534">
        <v>1.3737539999999999</v>
      </c>
      <c r="AB74" s="534">
        <v>1.327647</v>
      </c>
      <c r="AC74" s="534">
        <v>1.45285</v>
      </c>
      <c r="AD74" s="534">
        <v>1.530343</v>
      </c>
      <c r="AE74" s="534">
        <v>1.6074820000000001</v>
      </c>
      <c r="AF74" s="534">
        <v>1.5413570000000001</v>
      </c>
    </row>
    <row r="75" spans="1:32">
      <c r="A75" s="22">
        <v>90</v>
      </c>
      <c r="B75" s="22" t="s">
        <v>17</v>
      </c>
      <c r="C75" s="534">
        <v>18.23676</v>
      </c>
      <c r="D75" s="534">
        <v>19.657489999999999</v>
      </c>
      <c r="E75" s="534">
        <v>20.171250000000001</v>
      </c>
      <c r="F75" s="534">
        <v>20.764959999999999</v>
      </c>
      <c r="G75" s="534">
        <v>21.77814</v>
      </c>
      <c r="H75" s="534">
        <v>21.949069999999999</v>
      </c>
      <c r="I75" s="534">
        <v>23.637879999999999</v>
      </c>
      <c r="J75" s="534">
        <v>23.57535</v>
      </c>
      <c r="K75" s="534">
        <v>25.444199999999999</v>
      </c>
      <c r="L75" s="534">
        <v>27.392949999999999</v>
      </c>
      <c r="M75" s="534">
        <v>29.604140000000001</v>
      </c>
      <c r="N75" s="534">
        <v>32.421970000000002</v>
      </c>
      <c r="O75" s="534">
        <v>33.421520000000001</v>
      </c>
      <c r="P75" s="534">
        <v>35.913939999999997</v>
      </c>
      <c r="Q75" s="534">
        <v>38.512160000000002</v>
      </c>
      <c r="R75" s="534">
        <v>41.327710000000003</v>
      </c>
      <c r="S75" s="534">
        <v>42.764580000000002</v>
      </c>
      <c r="T75" s="534">
        <v>45.590609999999998</v>
      </c>
      <c r="U75" s="534">
        <v>48.736280000000001</v>
      </c>
      <c r="V75" s="534">
        <v>50.883429999999997</v>
      </c>
      <c r="W75" s="534">
        <v>53.997250000000001</v>
      </c>
      <c r="X75" s="534">
        <v>56.546050000000001</v>
      </c>
      <c r="Y75" s="534">
        <v>59.515799999999999</v>
      </c>
      <c r="Z75" s="534">
        <v>61.756459999999997</v>
      </c>
      <c r="AA75" s="534">
        <v>64.700699999999998</v>
      </c>
      <c r="AB75" s="534">
        <v>68.579409999999996</v>
      </c>
      <c r="AC75" s="534">
        <v>74.4863</v>
      </c>
      <c r="AD75" s="534">
        <v>81.543959999999998</v>
      </c>
      <c r="AE75" s="534">
        <v>86.814160000000001</v>
      </c>
      <c r="AF75" s="534">
        <v>92.877340000000004</v>
      </c>
    </row>
    <row r="76" spans="1:32">
      <c r="A76" s="22">
        <v>438</v>
      </c>
      <c r="B76" s="22" t="s">
        <v>92</v>
      </c>
      <c r="C76" s="534">
        <v>1.9529000000000001</v>
      </c>
      <c r="D76" s="534">
        <v>2.0985749999999999</v>
      </c>
      <c r="E76" s="534">
        <v>2.2520440000000002</v>
      </c>
      <c r="F76" s="534">
        <v>2.3595380000000001</v>
      </c>
      <c r="G76" s="534">
        <v>2.484591</v>
      </c>
      <c r="H76" s="534">
        <v>2.68492</v>
      </c>
      <c r="I76" s="534">
        <v>2.8131710000000001</v>
      </c>
      <c r="J76" s="534">
        <v>2.9980639999999998</v>
      </c>
      <c r="K76" s="534">
        <v>3.2747229999999998</v>
      </c>
      <c r="L76" s="534">
        <v>3.5518550000000002</v>
      </c>
      <c r="M76" s="534">
        <v>3.8714919999999999</v>
      </c>
      <c r="N76" s="534">
        <v>4.0201880000000001</v>
      </c>
      <c r="O76" s="534">
        <v>4.0107749999999998</v>
      </c>
      <c r="P76" s="534">
        <v>4.2845339999999998</v>
      </c>
      <c r="Q76" s="534">
        <v>4.5796549999999998</v>
      </c>
      <c r="R76" s="534">
        <v>4.9968009999999996</v>
      </c>
      <c r="S76" s="534">
        <v>5.5184340000000001</v>
      </c>
      <c r="T76" s="534">
        <v>4.9908869999999999</v>
      </c>
      <c r="U76" s="534">
        <v>5.2427159999999997</v>
      </c>
      <c r="V76" s="534">
        <v>5.9893809999999998</v>
      </c>
      <c r="W76" s="534">
        <v>5.6321070000000004</v>
      </c>
      <c r="X76" s="534">
        <v>6.1822499999999998</v>
      </c>
      <c r="Y76" s="534">
        <v>6.3097709999999996</v>
      </c>
      <c r="Z76" s="534">
        <v>7.013344</v>
      </c>
      <c r="AA76" s="534">
        <v>7.2526339999999996</v>
      </c>
      <c r="AB76" s="534">
        <v>7.9636639999999996</v>
      </c>
      <c r="AC76" s="534">
        <v>8.4317039999999999</v>
      </c>
      <c r="AD76" s="534">
        <v>9.0698340000000002</v>
      </c>
      <c r="AE76" s="534">
        <v>9.9645089999999996</v>
      </c>
      <c r="AF76" s="534">
        <v>9.8976089999999992</v>
      </c>
    </row>
    <row r="77" spans="1:32">
      <c r="A77" s="22">
        <v>110</v>
      </c>
      <c r="B77" s="22" t="s">
        <v>25</v>
      </c>
      <c r="C77" s="534">
        <v>0.94556580000000001</v>
      </c>
      <c r="D77" s="534">
        <v>0.95745069999999999</v>
      </c>
      <c r="E77" s="534">
        <v>0.76454</v>
      </c>
      <c r="F77" s="534">
        <v>0.68569789999999997</v>
      </c>
      <c r="G77" s="534">
        <v>0.60337739999999995</v>
      </c>
      <c r="H77" s="534">
        <v>0.71412410000000004</v>
      </c>
      <c r="I77" s="534">
        <v>0.8007862</v>
      </c>
      <c r="J77" s="534">
        <v>0.83257409999999998</v>
      </c>
      <c r="K77" s="534">
        <v>0.88874699999999995</v>
      </c>
      <c r="L77" s="534">
        <v>0.78016450000000004</v>
      </c>
      <c r="M77" s="534">
        <v>0.72322620000000004</v>
      </c>
      <c r="N77" s="534">
        <v>1.1492150000000001</v>
      </c>
      <c r="O77" s="534">
        <v>1.220583</v>
      </c>
      <c r="P77" s="534">
        <v>1.2082599999999999</v>
      </c>
      <c r="Q77" s="534">
        <v>1.245425</v>
      </c>
      <c r="R77" s="534">
        <v>1.4118120000000001</v>
      </c>
      <c r="S77" s="534">
        <v>1.5296460000000001</v>
      </c>
      <c r="T77" s="534">
        <v>2.0361799999999999</v>
      </c>
      <c r="U77" s="534">
        <v>2.0637819999999998</v>
      </c>
      <c r="V77" s="534">
        <v>2.0889329999999999</v>
      </c>
      <c r="W77" s="534">
        <v>2.190747</v>
      </c>
      <c r="X77" s="534">
        <v>2.3846349999999998</v>
      </c>
      <c r="Y77" s="534">
        <v>2.383464</v>
      </c>
      <c r="Z77" s="534">
        <v>2.426879</v>
      </c>
      <c r="AA77" s="534">
        <v>2.5719210000000001</v>
      </c>
      <c r="AB77" s="534">
        <v>2.9181680000000001</v>
      </c>
      <c r="AC77" s="534">
        <v>2.9324599999999998</v>
      </c>
      <c r="AD77" s="534">
        <v>3.2823060000000002</v>
      </c>
      <c r="AE77" s="534">
        <v>3.467571</v>
      </c>
      <c r="AF77" s="534">
        <v>3.6300539999999999</v>
      </c>
    </row>
    <row r="78" spans="1:32">
      <c r="A78" s="22">
        <v>41</v>
      </c>
      <c r="B78" s="22" t="s">
        <v>4</v>
      </c>
      <c r="C78" s="534">
        <v>5.6084379999999996</v>
      </c>
      <c r="D78" s="534">
        <v>5.7813369999999997</v>
      </c>
      <c r="E78" s="534">
        <v>5.8595949999999997</v>
      </c>
      <c r="F78" s="534">
        <v>6.1265929999999997</v>
      </c>
      <c r="G78" s="534">
        <v>6.6452859999999996</v>
      </c>
      <c r="H78" s="534">
        <v>7.0517609999999999</v>
      </c>
      <c r="I78" s="534">
        <v>7.30152</v>
      </c>
      <c r="J78" s="534">
        <v>7.345936</v>
      </c>
      <c r="K78" s="534">
        <v>7.6450829999999996</v>
      </c>
      <c r="L78" s="534">
        <v>7.7329400000000001</v>
      </c>
      <c r="M78" s="534">
        <v>8.2002070000000007</v>
      </c>
      <c r="N78" s="534">
        <v>7.6878780000000004</v>
      </c>
      <c r="O78" s="534">
        <v>7.6487590000000001</v>
      </c>
      <c r="P78" s="534">
        <v>8.3510720000000003</v>
      </c>
      <c r="Q78" s="534">
        <v>8.6828669999999999</v>
      </c>
      <c r="R78" s="534">
        <v>9.3466100000000001</v>
      </c>
      <c r="S78" s="534">
        <v>9.8396980000000003</v>
      </c>
      <c r="T78" s="534">
        <v>10.31094</v>
      </c>
      <c r="U78" s="534">
        <v>10.824999999999999</v>
      </c>
      <c r="V78" s="534">
        <v>11.187279999999999</v>
      </c>
      <c r="W78" s="534">
        <v>11.566079999999999</v>
      </c>
      <c r="X78" s="534">
        <v>11.47386</v>
      </c>
      <c r="Y78" s="534">
        <v>11.58156</v>
      </c>
      <c r="Z78" s="534">
        <v>11.25112</v>
      </c>
      <c r="AA78" s="534">
        <v>11.27261</v>
      </c>
      <c r="AB78" s="534">
        <v>12.50944</v>
      </c>
      <c r="AC78" s="534">
        <v>12.85805</v>
      </c>
      <c r="AD78" s="534">
        <v>14.20088</v>
      </c>
      <c r="AE78" s="534">
        <v>14.51483</v>
      </c>
      <c r="AF78" s="534">
        <v>15.481310000000001</v>
      </c>
    </row>
    <row r="79" spans="1:32">
      <c r="A79" s="22">
        <v>91</v>
      </c>
      <c r="B79" s="22" t="s">
        <v>18</v>
      </c>
      <c r="C79" s="534">
        <v>5.9313079999999996</v>
      </c>
      <c r="D79" s="534">
        <v>6.3472939999999998</v>
      </c>
      <c r="E79" s="534">
        <v>6.613791</v>
      </c>
      <c r="F79" s="534">
        <v>6.6691409999999998</v>
      </c>
      <c r="G79" s="534">
        <v>7.2522330000000004</v>
      </c>
      <c r="H79" s="534">
        <v>7.760834</v>
      </c>
      <c r="I79" s="534">
        <v>8.4224379999999996</v>
      </c>
      <c r="J79" s="534">
        <v>9.057582</v>
      </c>
      <c r="K79" s="534">
        <v>10.129899999999999</v>
      </c>
      <c r="L79" s="534">
        <v>10.798349999999999</v>
      </c>
      <c r="M79" s="534">
        <v>11.10468</v>
      </c>
      <c r="N79" s="534">
        <v>11.90666</v>
      </c>
      <c r="O79" s="534">
        <v>12.710760000000001</v>
      </c>
      <c r="P79" s="534">
        <v>13.17709</v>
      </c>
      <c r="Q79" s="534">
        <v>13.5326</v>
      </c>
      <c r="R79" s="534">
        <v>14.94955</v>
      </c>
      <c r="S79" s="534">
        <v>15.45072</v>
      </c>
      <c r="T79" s="534">
        <v>16.135459999999998</v>
      </c>
      <c r="U79" s="534">
        <v>16.722329999999999</v>
      </c>
      <c r="V79" s="534">
        <v>16.130700000000001</v>
      </c>
      <c r="W79" s="534">
        <v>17.666530000000002</v>
      </c>
      <c r="X79" s="534">
        <v>18.45055</v>
      </c>
      <c r="Y79" s="534">
        <v>19.27495</v>
      </c>
      <c r="Z79" s="534">
        <v>20.300370000000001</v>
      </c>
      <c r="AA79" s="534">
        <v>21.873889999999999</v>
      </c>
      <c r="AB79" s="534">
        <v>23.807230000000001</v>
      </c>
      <c r="AC79" s="534">
        <v>25.889600000000002</v>
      </c>
      <c r="AD79" s="534">
        <v>28.343419999999998</v>
      </c>
      <c r="AE79" s="534">
        <v>30.101099999999999</v>
      </c>
      <c r="AF79" s="534">
        <v>30.47073</v>
      </c>
    </row>
    <row r="80" spans="1:32">
      <c r="A80" s="22">
        <v>310</v>
      </c>
      <c r="B80" s="22" t="s">
        <v>50</v>
      </c>
      <c r="C80" s="534">
        <v>55.96537</v>
      </c>
      <c r="D80" s="534">
        <v>62.938090000000003</v>
      </c>
      <c r="E80" s="534">
        <v>67.486919999999998</v>
      </c>
      <c r="F80" s="534">
        <v>69.939700000000002</v>
      </c>
      <c r="G80" s="534">
        <v>73.715850000000003</v>
      </c>
      <c r="H80" s="534">
        <v>75.963380000000001</v>
      </c>
      <c r="I80" s="534">
        <v>77.971990000000005</v>
      </c>
      <c r="J80" s="534">
        <v>83.461560000000006</v>
      </c>
      <c r="K80" s="534">
        <v>86.170550000000006</v>
      </c>
      <c r="L80" s="534">
        <v>90.577650000000006</v>
      </c>
      <c r="M80" s="534">
        <v>90.832700000000003</v>
      </c>
      <c r="N80" s="534">
        <v>83.197149999999993</v>
      </c>
      <c r="O80" s="534">
        <v>83.6571</v>
      </c>
      <c r="P80" s="534">
        <v>86.14282</v>
      </c>
      <c r="Q80" s="534">
        <v>89.862409999999997</v>
      </c>
      <c r="R80" s="534">
        <v>92.035679999999999</v>
      </c>
      <c r="S80" s="534">
        <v>93.945660000000004</v>
      </c>
      <c r="T80" s="534">
        <v>100.1221</v>
      </c>
      <c r="U80" s="534">
        <v>105.6754</v>
      </c>
      <c r="V80" s="534">
        <v>111.30589999999999</v>
      </c>
      <c r="W80" s="534">
        <v>117.6152</v>
      </c>
      <c r="X80" s="534">
        <v>126.1065</v>
      </c>
      <c r="Y80" s="534">
        <v>136.00139999999999</v>
      </c>
      <c r="Z80" s="534">
        <v>145.13229999999999</v>
      </c>
      <c r="AA80" s="534">
        <v>156.4699</v>
      </c>
      <c r="AB80" s="534">
        <v>166.55340000000001</v>
      </c>
      <c r="AC80" s="534">
        <v>176.512</v>
      </c>
      <c r="AD80" s="534">
        <v>183.74889999999999</v>
      </c>
      <c r="AE80" s="534">
        <v>190.8202</v>
      </c>
      <c r="AF80" s="534">
        <v>180.13890000000001</v>
      </c>
    </row>
    <row r="81" spans="1:32">
      <c r="A81" s="22">
        <v>395</v>
      </c>
      <c r="B81" s="22" t="s">
        <v>80</v>
      </c>
      <c r="C81" s="534">
        <v>2.6752850000000001</v>
      </c>
      <c r="D81" s="534">
        <v>3.0383520000000002</v>
      </c>
      <c r="E81" s="534">
        <v>3.2523300000000002</v>
      </c>
      <c r="F81" s="534">
        <v>3.2896320000000001</v>
      </c>
      <c r="G81" s="534">
        <v>3.5614210000000002</v>
      </c>
      <c r="H81" s="534">
        <v>3.7670810000000001</v>
      </c>
      <c r="I81" s="534">
        <v>4.1658080000000002</v>
      </c>
      <c r="J81" s="534">
        <v>4.7251459999999996</v>
      </c>
      <c r="K81" s="534">
        <v>4.8931659999999999</v>
      </c>
      <c r="L81" s="534">
        <v>5.0156470000000004</v>
      </c>
      <c r="M81" s="534">
        <v>5.2628219999999999</v>
      </c>
      <c r="N81" s="534">
        <v>5.5041589999999996</v>
      </c>
      <c r="O81" s="534">
        <v>5.4266860000000001</v>
      </c>
      <c r="P81" s="534">
        <v>5.5317749999999997</v>
      </c>
      <c r="Q81" s="534">
        <v>5.8690360000000004</v>
      </c>
      <c r="R81" s="534">
        <v>6.0052899999999996</v>
      </c>
      <c r="S81" s="534">
        <v>6.3618360000000003</v>
      </c>
      <c r="T81" s="534">
        <v>6.815849</v>
      </c>
      <c r="U81" s="534">
        <v>7.4677619999999996</v>
      </c>
      <c r="V81" s="534">
        <v>7.8413259999999996</v>
      </c>
      <c r="W81" s="534">
        <v>8.3562449999999995</v>
      </c>
      <c r="X81" s="534">
        <v>8.8596540000000008</v>
      </c>
      <c r="Y81" s="534">
        <v>8.9816459999999996</v>
      </c>
      <c r="Z81" s="534">
        <v>9.3304510000000001</v>
      </c>
      <c r="AA81" s="534">
        <v>10.379379999999999</v>
      </c>
      <c r="AB81" s="534">
        <v>11.838200000000001</v>
      </c>
      <c r="AC81" s="534">
        <v>12.87731</v>
      </c>
      <c r="AD81" s="534">
        <v>14.00896</v>
      </c>
      <c r="AE81" s="534">
        <v>14.057230000000001</v>
      </c>
      <c r="AF81" s="534">
        <v>12.309530000000001</v>
      </c>
    </row>
    <row r="82" spans="1:32">
      <c r="A82" s="22">
        <v>750</v>
      </c>
      <c r="B82" s="22" t="s">
        <v>160</v>
      </c>
      <c r="C82" s="534">
        <v>333.95859999999999</v>
      </c>
      <c r="D82" s="534">
        <v>394.02809999999999</v>
      </c>
      <c r="E82" s="534">
        <v>428.17840000000001</v>
      </c>
      <c r="F82" s="534">
        <v>467.61869999999999</v>
      </c>
      <c r="G82" s="534">
        <v>507.0172</v>
      </c>
      <c r="H82" s="534">
        <v>557.04949999999997</v>
      </c>
      <c r="I82" s="534">
        <v>600.30830000000003</v>
      </c>
      <c r="J82" s="534">
        <v>649.70309999999995</v>
      </c>
      <c r="K82" s="534">
        <v>728.59590000000003</v>
      </c>
      <c r="L82" s="534">
        <v>788.99379999999996</v>
      </c>
      <c r="M82" s="534">
        <v>864.12630000000001</v>
      </c>
      <c r="N82" s="534">
        <v>892.5865</v>
      </c>
      <c r="O82" s="534">
        <v>955.90480000000002</v>
      </c>
      <c r="P82" s="534">
        <v>1012.626</v>
      </c>
      <c r="Q82" s="534">
        <v>1104.481</v>
      </c>
      <c r="R82" s="534">
        <v>1228.1590000000001</v>
      </c>
      <c r="S82" s="534">
        <v>1282.76</v>
      </c>
      <c r="T82" s="534">
        <v>1376.2550000000001</v>
      </c>
      <c r="U82" s="534">
        <v>1472.701</v>
      </c>
      <c r="V82" s="534">
        <v>1642.325</v>
      </c>
      <c r="W82" s="534">
        <v>1706.74</v>
      </c>
      <c r="X82" s="534">
        <v>1823.184</v>
      </c>
      <c r="Y82" s="534">
        <v>1920.2180000000001</v>
      </c>
      <c r="Z82" s="534">
        <v>2108.0590000000002</v>
      </c>
      <c r="AA82" s="534">
        <v>2341.596</v>
      </c>
      <c r="AB82" s="534">
        <v>2788.8119999999999</v>
      </c>
      <c r="AC82" s="534">
        <v>3167.15</v>
      </c>
      <c r="AD82" s="534">
        <v>3604.0010000000002</v>
      </c>
      <c r="AE82" s="534">
        <v>3880.009</v>
      </c>
      <c r="AF82" s="534">
        <v>4150.9740000000002</v>
      </c>
    </row>
    <row r="83" spans="1:32">
      <c r="A83" s="22">
        <v>850</v>
      </c>
      <c r="B83" s="22" t="s">
        <v>176</v>
      </c>
      <c r="C83" s="534">
        <v>120.40779999999999</v>
      </c>
      <c r="D83" s="534">
        <v>143.37010000000001</v>
      </c>
      <c r="E83" s="534">
        <v>155.7517</v>
      </c>
      <c r="F83" s="534">
        <v>171.10759999999999</v>
      </c>
      <c r="G83" s="534">
        <v>189.505</v>
      </c>
      <c r="H83" s="534">
        <v>204.49610000000001</v>
      </c>
      <c r="I83" s="534">
        <v>211.12100000000001</v>
      </c>
      <c r="J83" s="534">
        <v>227.48820000000001</v>
      </c>
      <c r="K83" s="534">
        <v>240.21350000000001</v>
      </c>
      <c r="L83" s="534">
        <v>274.21480000000003</v>
      </c>
      <c r="M83" s="534">
        <v>317.64519999999999</v>
      </c>
      <c r="N83" s="534">
        <v>355.19900000000001</v>
      </c>
      <c r="O83" s="534">
        <v>388.80220000000003</v>
      </c>
      <c r="P83" s="534">
        <v>422.99549999999999</v>
      </c>
      <c r="Q83" s="534">
        <v>465.10070000000002</v>
      </c>
      <c r="R83" s="534">
        <v>517.94489999999996</v>
      </c>
      <c r="S83" s="534">
        <v>565.72559999999999</v>
      </c>
      <c r="T83" s="534">
        <v>611.63670000000002</v>
      </c>
      <c r="U83" s="534">
        <v>558.28819999999996</v>
      </c>
      <c r="V83" s="534">
        <v>533.55190000000005</v>
      </c>
      <c r="W83" s="534">
        <v>579.48400000000004</v>
      </c>
      <c r="X83" s="534">
        <v>607.94870000000003</v>
      </c>
      <c r="Y83" s="534">
        <v>622.12030000000004</v>
      </c>
      <c r="Z83" s="534">
        <v>679.15419999999995</v>
      </c>
      <c r="AA83" s="534">
        <v>719.5915</v>
      </c>
      <c r="AB83" s="534">
        <v>788.89880000000005</v>
      </c>
      <c r="AC83" s="534">
        <v>853.55780000000004</v>
      </c>
      <c r="AD83" s="534">
        <v>903.12440000000004</v>
      </c>
      <c r="AE83" s="534">
        <v>978.4579</v>
      </c>
      <c r="AF83" s="534">
        <v>1052.607</v>
      </c>
    </row>
    <row r="84" spans="1:32">
      <c r="A84" s="22">
        <v>205</v>
      </c>
      <c r="B84" s="22" t="s">
        <v>36</v>
      </c>
      <c r="C84" s="534">
        <v>22.087330000000001</v>
      </c>
      <c r="D84" s="534">
        <v>24.752859999999998</v>
      </c>
      <c r="E84" s="534">
        <v>26.99352</v>
      </c>
      <c r="F84" s="534">
        <v>28.347110000000001</v>
      </c>
      <c r="G84" s="534">
        <v>30.386320000000001</v>
      </c>
      <c r="H84" s="534">
        <v>32.199910000000003</v>
      </c>
      <c r="I84" s="534">
        <v>33.551369999999999</v>
      </c>
      <c r="J84" s="534">
        <v>35.546639999999996</v>
      </c>
      <c r="K84" s="534">
        <v>38.237659999999998</v>
      </c>
      <c r="L84" s="534">
        <v>42.368189999999998</v>
      </c>
      <c r="M84" s="534">
        <v>46.612969999999997</v>
      </c>
      <c r="N84" s="534">
        <v>48.24588</v>
      </c>
      <c r="O84" s="534">
        <v>50.40728</v>
      </c>
      <c r="P84" s="534">
        <v>53.674419999999998</v>
      </c>
      <c r="Q84" s="534">
        <v>57.414630000000002</v>
      </c>
      <c r="R84" s="534">
        <v>64.257490000000004</v>
      </c>
      <c r="S84" s="534">
        <v>70.910579999999996</v>
      </c>
      <c r="T84" s="534">
        <v>79.963819999999998</v>
      </c>
      <c r="U84" s="534">
        <v>86.209350000000001</v>
      </c>
      <c r="V84" s="534">
        <v>96.573809999999995</v>
      </c>
      <c r="W84" s="534">
        <v>107.7547</v>
      </c>
      <c r="X84" s="534">
        <v>117.61369999999999</v>
      </c>
      <c r="Y84" s="534">
        <v>127.8263</v>
      </c>
      <c r="Z84" s="534">
        <v>134.56530000000001</v>
      </c>
      <c r="AA84" s="534">
        <v>141.87649999999999</v>
      </c>
      <c r="AB84" s="534">
        <v>155.4992</v>
      </c>
      <c r="AC84" s="534">
        <v>167.4342</v>
      </c>
      <c r="AD84" s="534">
        <v>180.81460000000001</v>
      </c>
      <c r="AE84" s="534">
        <v>177.38550000000001</v>
      </c>
      <c r="AF84" s="534">
        <v>164.3211</v>
      </c>
    </row>
    <row r="85" spans="1:32">
      <c r="A85" s="22">
        <v>630</v>
      </c>
      <c r="B85" s="22" t="s">
        <v>133</v>
      </c>
      <c r="C85" s="534">
        <v>130.197</v>
      </c>
      <c r="D85" s="534">
        <v>140.47800000000001</v>
      </c>
      <c r="E85" s="534">
        <v>169.745</v>
      </c>
      <c r="F85" s="534">
        <v>191.92</v>
      </c>
      <c r="G85" s="534">
        <v>188.40940000000001</v>
      </c>
      <c r="H85" s="534">
        <v>194.9333</v>
      </c>
      <c r="I85" s="534">
        <v>178.67230000000001</v>
      </c>
      <c r="J85" s="534">
        <v>191.2294</v>
      </c>
      <c r="K85" s="534">
        <v>182.625</v>
      </c>
      <c r="L85" s="534">
        <v>188.61369999999999</v>
      </c>
      <c r="M85" s="534">
        <v>213.8</v>
      </c>
      <c r="N85" s="534">
        <v>246.76</v>
      </c>
      <c r="O85" s="534">
        <v>259.2405</v>
      </c>
      <c r="P85" s="534">
        <v>306.92230000000001</v>
      </c>
      <c r="Q85" s="534">
        <v>320.59899999999999</v>
      </c>
      <c r="R85" s="534">
        <v>314.79649999999998</v>
      </c>
      <c r="S85" s="534">
        <v>334.7516</v>
      </c>
      <c r="T85" s="534">
        <v>337.06709999999998</v>
      </c>
      <c r="U85" s="534">
        <v>335.4237</v>
      </c>
      <c r="V85" s="534">
        <v>378.69099999999997</v>
      </c>
      <c r="W85" s="534">
        <v>407.61849999999998</v>
      </c>
      <c r="X85" s="534">
        <v>419.4042</v>
      </c>
      <c r="Y85" s="534">
        <v>464.91969999999998</v>
      </c>
      <c r="Z85" s="534">
        <v>500.78579999999999</v>
      </c>
      <c r="AA85" s="534">
        <v>560.55709999999999</v>
      </c>
      <c r="AB85" s="534">
        <v>660.53920000000005</v>
      </c>
      <c r="AC85" s="534">
        <v>726.35609999999997</v>
      </c>
      <c r="AD85" s="534">
        <v>834.51379999999995</v>
      </c>
      <c r="AE85" s="534">
        <v>913.13919999999996</v>
      </c>
      <c r="AF85" s="534">
        <v>894.96600000000001</v>
      </c>
    </row>
    <row r="86" spans="1:32">
      <c r="A86" s="22">
        <v>645</v>
      </c>
      <c r="B86" s="22" t="s">
        <v>135</v>
      </c>
      <c r="C86" s="534">
        <v>68.539379999999994</v>
      </c>
      <c r="D86" s="534">
        <v>61.456090000000003</v>
      </c>
      <c r="E86" s="534">
        <v>64.456500000000005</v>
      </c>
      <c r="F86" s="534">
        <v>61.422460000000001</v>
      </c>
      <c r="G86" s="534">
        <v>64.036259999999999</v>
      </c>
      <c r="H86" s="534">
        <v>65.770899999999997</v>
      </c>
      <c r="I86" s="534">
        <v>72.842150000000004</v>
      </c>
      <c r="J86" s="534">
        <v>89.433850000000007</v>
      </c>
      <c r="K86" s="534">
        <v>95.984710000000007</v>
      </c>
      <c r="L86" s="534">
        <v>91.338700000000003</v>
      </c>
      <c r="M86" s="534">
        <v>95.294659999999993</v>
      </c>
      <c r="N86" s="534">
        <v>33.199710000000003</v>
      </c>
      <c r="O86" s="534">
        <v>42.641170000000002</v>
      </c>
      <c r="P86" s="534">
        <v>65.12867</v>
      </c>
      <c r="Q86" s="534">
        <v>62.604709999999997</v>
      </c>
      <c r="R86" s="534">
        <v>51.75253</v>
      </c>
      <c r="S86" s="534">
        <v>78.419300000000007</v>
      </c>
      <c r="T86" s="534">
        <v>49.258420000000001</v>
      </c>
      <c r="U86" s="534">
        <v>67.517349999999993</v>
      </c>
      <c r="V86" s="534">
        <v>82.093729999999994</v>
      </c>
      <c r="W86" s="534">
        <v>86.084869999999995</v>
      </c>
      <c r="X86" s="534">
        <v>89.518360000000001</v>
      </c>
      <c r="Y86" s="534">
        <v>84.039140000000003</v>
      </c>
      <c r="Z86" s="534">
        <v>56.273940000000003</v>
      </c>
      <c r="AA86" s="534">
        <v>91.489440000000002</v>
      </c>
      <c r="AB86" s="534">
        <v>97.972179999999994</v>
      </c>
      <c r="AC86" s="534">
        <v>111.3895</v>
      </c>
      <c r="AD86" s="534">
        <v>115.7521</v>
      </c>
      <c r="AE86" s="534">
        <v>128.91290000000001</v>
      </c>
      <c r="AF86" s="534">
        <v>151.59350000000001</v>
      </c>
    </row>
    <row r="87" spans="1:32">
      <c r="A87" s="22">
        <v>666</v>
      </c>
      <c r="B87" s="22" t="s">
        <v>140</v>
      </c>
      <c r="C87" s="534">
        <v>26.37313</v>
      </c>
      <c r="D87" s="534">
        <v>30.342970000000001</v>
      </c>
      <c r="E87" s="534">
        <v>33.42145</v>
      </c>
      <c r="F87" s="534">
        <v>36.473080000000003</v>
      </c>
      <c r="G87" s="534">
        <v>37.427430000000001</v>
      </c>
      <c r="H87" s="534">
        <v>39.237769999999998</v>
      </c>
      <c r="I87" s="534">
        <v>42.807040000000001</v>
      </c>
      <c r="J87" s="534">
        <v>47.209820000000001</v>
      </c>
      <c r="K87" s="534">
        <v>51.071829999999999</v>
      </c>
      <c r="L87" s="534">
        <v>52.33663</v>
      </c>
      <c r="M87" s="534">
        <v>59.138739999999999</v>
      </c>
      <c r="N87" s="534">
        <v>67.734629999999996</v>
      </c>
      <c r="O87" s="534">
        <v>74.062359999999998</v>
      </c>
      <c r="P87" s="534">
        <v>78.637870000000007</v>
      </c>
      <c r="Q87" s="534">
        <v>86.865459999999999</v>
      </c>
      <c r="R87" s="534">
        <v>92.646799999999999</v>
      </c>
      <c r="S87" s="534">
        <v>100.4729</v>
      </c>
      <c r="T87" s="534">
        <v>105.70780000000001</v>
      </c>
      <c r="U87" s="534">
        <v>110.92749999999999</v>
      </c>
      <c r="V87" s="534">
        <v>117.1511</v>
      </c>
      <c r="W87" s="534">
        <v>129.08320000000001</v>
      </c>
      <c r="X87" s="534">
        <v>130.91550000000001</v>
      </c>
      <c r="Y87" s="534">
        <v>131.2775</v>
      </c>
      <c r="Z87" s="534">
        <v>135.32329999999999</v>
      </c>
      <c r="AA87" s="534">
        <v>144.5514</v>
      </c>
      <c r="AB87" s="534">
        <v>160.57980000000001</v>
      </c>
      <c r="AC87" s="534">
        <v>174.36689999999999</v>
      </c>
      <c r="AD87" s="534">
        <v>188.1825</v>
      </c>
      <c r="AE87" s="534">
        <v>199.6327</v>
      </c>
      <c r="AF87" s="534">
        <v>205.8253</v>
      </c>
    </row>
    <row r="88" spans="1:32">
      <c r="A88" s="22">
        <v>325</v>
      </c>
      <c r="B88" s="22" t="s">
        <v>53</v>
      </c>
      <c r="C88" s="534">
        <v>525.77049999999997</v>
      </c>
      <c r="D88" s="534">
        <v>574.69129999999996</v>
      </c>
      <c r="E88" s="534">
        <v>613.74379999999996</v>
      </c>
      <c r="F88" s="534">
        <v>644.62919999999997</v>
      </c>
      <c r="G88" s="534">
        <v>690.37120000000004</v>
      </c>
      <c r="H88" s="534">
        <v>731.42520000000002</v>
      </c>
      <c r="I88" s="534">
        <v>789.13019999999995</v>
      </c>
      <c r="J88" s="534">
        <v>844.71249999999998</v>
      </c>
      <c r="K88" s="534">
        <v>907.88829999999996</v>
      </c>
      <c r="L88" s="534">
        <v>973.86680000000001</v>
      </c>
      <c r="M88" s="534">
        <v>1042.1089999999999</v>
      </c>
      <c r="N88" s="534">
        <v>1101.3989999999999</v>
      </c>
      <c r="O88" s="534">
        <v>1131.1980000000001</v>
      </c>
      <c r="P88" s="534">
        <v>1135.836</v>
      </c>
      <c r="Q88" s="534">
        <v>1180.5630000000001</v>
      </c>
      <c r="R88" s="534">
        <v>1235.721</v>
      </c>
      <c r="S88" s="534">
        <v>1271.7090000000001</v>
      </c>
      <c r="T88" s="534">
        <v>1314.8320000000001</v>
      </c>
      <c r="U88" s="534">
        <v>1352.374</v>
      </c>
      <c r="V88" s="534">
        <v>1400.1110000000001</v>
      </c>
      <c r="W88" s="534">
        <v>1461.6289999999999</v>
      </c>
      <c r="X88" s="534">
        <v>1525.7639999999999</v>
      </c>
      <c r="Y88" s="534">
        <v>1568.9359999999999</v>
      </c>
      <c r="Z88" s="534">
        <v>1609.3720000000001</v>
      </c>
      <c r="AA88" s="534">
        <v>1677.2550000000001</v>
      </c>
      <c r="AB88" s="534">
        <v>1734.2829999999999</v>
      </c>
      <c r="AC88" s="534">
        <v>1818.9159999999999</v>
      </c>
      <c r="AD88" s="534">
        <v>1913.7529999999999</v>
      </c>
      <c r="AE88" s="534">
        <v>1939.097</v>
      </c>
      <c r="AF88" s="534">
        <v>1867.9490000000001</v>
      </c>
    </row>
    <row r="89" spans="1:32">
      <c r="A89" s="22">
        <v>51</v>
      </c>
      <c r="B89" s="22" t="s">
        <v>6</v>
      </c>
      <c r="C89" s="534">
        <v>6.7524350000000002</v>
      </c>
      <c r="D89" s="534">
        <v>7.5834890000000001</v>
      </c>
      <c r="E89" s="534">
        <v>8.1141229999999993</v>
      </c>
      <c r="F89" s="534">
        <v>8.5339320000000001</v>
      </c>
      <c r="G89" s="534">
        <v>8.6892440000000004</v>
      </c>
      <c r="H89" s="534">
        <v>8.5082930000000001</v>
      </c>
      <c r="I89" s="534">
        <v>8.8357200000000002</v>
      </c>
      <c r="J89" s="534">
        <v>9.82944</v>
      </c>
      <c r="K89" s="534">
        <v>10.48405</v>
      </c>
      <c r="L89" s="534">
        <v>11.568289999999999</v>
      </c>
      <c r="M89" s="534">
        <v>12.71524</v>
      </c>
      <c r="N89" s="534">
        <v>13.191369999999999</v>
      </c>
      <c r="O89" s="534">
        <v>14.779120000000001</v>
      </c>
      <c r="P89" s="534">
        <v>15.473280000000001</v>
      </c>
      <c r="Q89" s="534">
        <v>15.84327</v>
      </c>
      <c r="R89" s="534">
        <v>16.29682</v>
      </c>
      <c r="S89" s="534">
        <v>19.19087</v>
      </c>
      <c r="T89" s="534">
        <v>21.272819999999999</v>
      </c>
      <c r="U89" s="534">
        <v>20.91337</v>
      </c>
      <c r="V89" s="534">
        <v>22.736419999999999</v>
      </c>
      <c r="W89" s="534">
        <v>23.010439999999999</v>
      </c>
      <c r="X89" s="534">
        <v>24.655449999999998</v>
      </c>
      <c r="Y89" s="534">
        <v>26.99042</v>
      </c>
      <c r="Z89" s="534">
        <v>27.53773</v>
      </c>
      <c r="AA89" s="534">
        <v>23.373470000000001</v>
      </c>
      <c r="AB89" s="534">
        <v>24.65898</v>
      </c>
      <c r="AC89" s="534">
        <v>26.214020000000001</v>
      </c>
      <c r="AD89" s="534">
        <v>27.447959999999998</v>
      </c>
      <c r="AE89" s="534">
        <v>28.21</v>
      </c>
      <c r="AF89" s="534">
        <v>27.656140000000001</v>
      </c>
    </row>
    <row r="90" spans="1:32">
      <c r="A90" s="22">
        <v>663</v>
      </c>
      <c r="B90" s="22" t="s">
        <v>139</v>
      </c>
      <c r="C90" s="534">
        <v>5.6125749999999996</v>
      </c>
      <c r="D90" s="534">
        <v>6.7225239999999999</v>
      </c>
      <c r="E90" s="534">
        <v>6.6049280000000001</v>
      </c>
      <c r="F90" s="534">
        <v>6.6682569999999997</v>
      </c>
      <c r="G90" s="534">
        <v>7.7697200000000004</v>
      </c>
      <c r="H90" s="534">
        <v>7.3469280000000001</v>
      </c>
      <c r="I90" s="534">
        <v>8.0124999999999993</v>
      </c>
      <c r="J90" s="534">
        <v>9.5261800000000001</v>
      </c>
      <c r="K90" s="534">
        <v>9.9805650000000004</v>
      </c>
      <c r="L90" s="534">
        <v>10.388</v>
      </c>
      <c r="M90" s="534">
        <v>9.6895469999999992</v>
      </c>
      <c r="N90" s="534">
        <v>8.5779219999999992</v>
      </c>
      <c r="O90" s="534">
        <v>10.64151</v>
      </c>
      <c r="P90" s="534">
        <v>11.986800000000001</v>
      </c>
      <c r="Q90" s="534">
        <v>12.75276</v>
      </c>
      <c r="R90" s="534">
        <v>13.61839</v>
      </c>
      <c r="S90" s="534">
        <v>13.961539999999999</v>
      </c>
      <c r="T90" s="534">
        <v>14.13649</v>
      </c>
      <c r="U90" s="534">
        <v>13.94298</v>
      </c>
      <c r="V90" s="534">
        <v>15.067119999999999</v>
      </c>
      <c r="W90" s="534">
        <v>15.51</v>
      </c>
      <c r="X90" s="534">
        <v>16.366890000000001</v>
      </c>
      <c r="Y90" s="534">
        <v>17.701219999999999</v>
      </c>
      <c r="Z90" s="534">
        <v>19.181529999999999</v>
      </c>
      <c r="AA90" s="534">
        <v>21.685970000000001</v>
      </c>
      <c r="AB90" s="534">
        <v>23.045850000000002</v>
      </c>
      <c r="AC90" s="534">
        <v>25.59375</v>
      </c>
      <c r="AD90" s="534">
        <v>27.989709999999999</v>
      </c>
      <c r="AE90" s="534">
        <v>33.735520000000001</v>
      </c>
      <c r="AF90" s="534">
        <v>36.008459999999999</v>
      </c>
    </row>
    <row r="91" spans="1:32">
      <c r="A91" s="22">
        <v>740</v>
      </c>
      <c r="B91" s="22" t="s">
        <v>159</v>
      </c>
      <c r="C91" s="534">
        <v>1153.3969999999999</v>
      </c>
      <c r="D91" s="534">
        <v>1305.6659999999999</v>
      </c>
      <c r="E91" s="534">
        <v>1412.1010000000001</v>
      </c>
      <c r="F91" s="534">
        <v>1491.7629999999999</v>
      </c>
      <c r="G91" s="534">
        <v>1602.4290000000001</v>
      </c>
      <c r="H91" s="534">
        <v>1742.799</v>
      </c>
      <c r="I91" s="534">
        <v>1863.8219999999999</v>
      </c>
      <c r="J91" s="534">
        <v>1997.8050000000001</v>
      </c>
      <c r="K91" s="534">
        <v>2206.6469999999999</v>
      </c>
      <c r="L91" s="534">
        <v>2405.5859999999998</v>
      </c>
      <c r="M91" s="534">
        <v>2627.107</v>
      </c>
      <c r="N91" s="534">
        <v>2802.0129999999999</v>
      </c>
      <c r="O91" s="534">
        <v>2888.1170000000002</v>
      </c>
      <c r="P91" s="534">
        <v>2951.248</v>
      </c>
      <c r="Q91" s="534">
        <v>3029.3339999999998</v>
      </c>
      <c r="R91" s="534">
        <v>3158.1880000000001</v>
      </c>
      <c r="S91" s="534">
        <v>3277.8159999999998</v>
      </c>
      <c r="T91" s="534">
        <v>3351.9430000000002</v>
      </c>
      <c r="U91" s="534">
        <v>3300.0920000000001</v>
      </c>
      <c r="V91" s="534">
        <v>3338.7559999999999</v>
      </c>
      <c r="W91" s="534">
        <v>3512.2159999999999</v>
      </c>
      <c r="X91" s="534">
        <v>3598.6909999999998</v>
      </c>
      <c r="Y91" s="534">
        <v>3667.9389999999999</v>
      </c>
      <c r="Z91" s="534">
        <v>3783.2240000000002</v>
      </c>
      <c r="AA91" s="534">
        <v>3984.7820000000002</v>
      </c>
      <c r="AB91" s="534">
        <v>4178.2619999999997</v>
      </c>
      <c r="AC91" s="534">
        <v>4369.7460000000001</v>
      </c>
      <c r="AD91" s="534">
        <v>4589.5370000000003</v>
      </c>
      <c r="AE91" s="534">
        <v>4598.7979999999998</v>
      </c>
      <c r="AF91" s="534">
        <v>4449.2240000000002</v>
      </c>
    </row>
    <row r="92" spans="1:32">
      <c r="A92" s="22">
        <v>501</v>
      </c>
      <c r="B92" s="22" t="s">
        <v>106</v>
      </c>
      <c r="C92" s="534">
        <v>8.9648690000000002</v>
      </c>
      <c r="D92" s="534">
        <v>9.6156480000000002</v>
      </c>
      <c r="E92" s="534">
        <v>10.228859999999999</v>
      </c>
      <c r="F92" s="534">
        <v>10.490790000000001</v>
      </c>
      <c r="G92" s="534">
        <v>11.560280000000001</v>
      </c>
      <c r="H92" s="534">
        <v>11.687569999999999</v>
      </c>
      <c r="I92" s="534">
        <v>13.47523</v>
      </c>
      <c r="J92" s="534">
        <v>14.59144</v>
      </c>
      <c r="K92" s="534">
        <v>16.221039999999999</v>
      </c>
      <c r="L92" s="534">
        <v>17.470549999999999</v>
      </c>
      <c r="M92" s="534">
        <v>18.560449999999999</v>
      </c>
      <c r="N92" s="534">
        <v>19.863990000000001</v>
      </c>
      <c r="O92" s="534">
        <v>20.181789999999999</v>
      </c>
      <c r="P92" s="534">
        <v>21.304469999999998</v>
      </c>
      <c r="Q92" s="534">
        <v>24.863710000000001</v>
      </c>
      <c r="R92" s="534">
        <v>24.964649999999999</v>
      </c>
      <c r="S92" s="534">
        <v>26.522130000000001</v>
      </c>
      <c r="T92" s="534">
        <v>27.358599999999999</v>
      </c>
      <c r="U92" s="534">
        <v>29.25808</v>
      </c>
      <c r="V92" s="534">
        <v>30.709119999999999</v>
      </c>
      <c r="W92" s="534">
        <v>30.873419999999999</v>
      </c>
      <c r="X92" s="534">
        <v>32.401269999999997</v>
      </c>
      <c r="Y92" s="534">
        <v>33.776560000000003</v>
      </c>
      <c r="Z92" s="534">
        <v>36.075749999999999</v>
      </c>
      <c r="AA92" s="534">
        <v>37.466760000000001</v>
      </c>
      <c r="AB92" s="534">
        <v>40.917119999999997</v>
      </c>
      <c r="AC92" s="534">
        <v>45.324829999999999</v>
      </c>
      <c r="AD92" s="534">
        <v>50.643419999999999</v>
      </c>
      <c r="AE92" s="534">
        <v>51.116860000000003</v>
      </c>
      <c r="AF92" s="534">
        <v>54.721449999999997</v>
      </c>
    </row>
    <row r="93" spans="1:32">
      <c r="A93" s="22">
        <v>946</v>
      </c>
      <c r="B93" s="22" t="s">
        <v>182</v>
      </c>
      <c r="C93" s="534">
        <v>4.85301E-2</v>
      </c>
      <c r="D93" s="534">
        <v>5.4811400000000003E-2</v>
      </c>
      <c r="E93" s="534">
        <v>6.3057000000000002E-2</v>
      </c>
      <c r="F93" s="534">
        <v>5.7943300000000003E-2</v>
      </c>
      <c r="G93" s="534">
        <v>6.4310900000000004E-2</v>
      </c>
      <c r="H93" s="534">
        <v>6.4247299999999993E-2</v>
      </c>
      <c r="I93" s="534">
        <v>6.66794E-2</v>
      </c>
      <c r="J93" s="534">
        <v>6.6669900000000004E-2</v>
      </c>
      <c r="K93" s="534">
        <v>7.9835699999999996E-2</v>
      </c>
      <c r="L93" s="534">
        <v>7.6832499999999998E-2</v>
      </c>
      <c r="M93" s="534">
        <v>8.2494200000000004E-2</v>
      </c>
      <c r="N93" s="534">
        <v>9.0182300000000007E-2</v>
      </c>
      <c r="O93" s="534">
        <v>9.1673099999999993E-2</v>
      </c>
      <c r="P93" s="534">
        <v>9.6735600000000005E-2</v>
      </c>
      <c r="Q93" s="534">
        <v>0.1051255</v>
      </c>
      <c r="R93" s="534">
        <v>0.1029508</v>
      </c>
      <c r="S93" s="534">
        <v>0.1175431</v>
      </c>
      <c r="T93" s="534">
        <v>0.24207380000000001</v>
      </c>
      <c r="U93" s="534">
        <v>0.26529700000000001</v>
      </c>
      <c r="V93" s="534">
        <v>0.2736151</v>
      </c>
      <c r="W93" s="534">
        <v>0.2963923</v>
      </c>
      <c r="X93" s="534">
        <v>0.29087800000000003</v>
      </c>
      <c r="Y93" s="534">
        <v>0.31842979999999999</v>
      </c>
      <c r="Z93" s="534">
        <v>0.33965119999999999</v>
      </c>
      <c r="AA93" s="534">
        <v>0.34866999999999998</v>
      </c>
      <c r="AB93" s="534">
        <v>0.38332179999999999</v>
      </c>
      <c r="AC93" s="534">
        <v>0.41025020000000001</v>
      </c>
      <c r="AD93" s="534">
        <v>0.42258760000000001</v>
      </c>
      <c r="AE93" s="534">
        <v>0.4523489</v>
      </c>
      <c r="AF93" s="534">
        <v>0.4528838</v>
      </c>
    </row>
    <row r="94" spans="1:32">
      <c r="A94" s="22">
        <v>690</v>
      </c>
      <c r="B94" s="22" t="s">
        <v>143</v>
      </c>
      <c r="I94" s="534">
        <v>25.016760000000001</v>
      </c>
      <c r="J94" s="534">
        <v>30.02882</v>
      </c>
      <c r="K94" s="534">
        <v>27.719740000000002</v>
      </c>
      <c r="L94" s="534">
        <v>33.209339999999997</v>
      </c>
      <c r="M94" s="534">
        <v>30.175909999999998</v>
      </c>
      <c r="N94" s="534">
        <v>28.61251</v>
      </c>
      <c r="O94" s="534">
        <v>28.18085</v>
      </c>
      <c r="P94" s="534">
        <v>33.71557</v>
      </c>
      <c r="Q94" s="534">
        <v>35.276609999999998</v>
      </c>
      <c r="R94" s="534">
        <v>37.726739999999999</v>
      </c>
      <c r="S94" s="534">
        <v>41.400910000000003</v>
      </c>
      <c r="T94" s="534">
        <v>40.27384</v>
      </c>
      <c r="U94" s="534">
        <v>35.060110000000002</v>
      </c>
      <c r="V94" s="534">
        <v>39.812519999999999</v>
      </c>
      <c r="W94" s="534">
        <v>49.361669999999997</v>
      </c>
      <c r="X94" s="534">
        <v>46.947899999999997</v>
      </c>
      <c r="Y94" s="534">
        <v>51.89161</v>
      </c>
      <c r="Z94" s="534">
        <v>63.505459999999999</v>
      </c>
      <c r="AA94" s="534">
        <v>81.385220000000004</v>
      </c>
      <c r="AB94" s="534">
        <v>111.06189999999999</v>
      </c>
      <c r="AC94" s="534">
        <v>141.1773</v>
      </c>
      <c r="AD94" s="534">
        <v>153.12870000000001</v>
      </c>
      <c r="AE94" s="534">
        <v>195.92070000000001</v>
      </c>
      <c r="AF94" s="534">
        <v>142.8964</v>
      </c>
    </row>
    <row r="95" spans="1:32">
      <c r="A95" s="22">
        <v>703</v>
      </c>
      <c r="B95" s="22" t="s">
        <v>151</v>
      </c>
      <c r="N95" s="534"/>
      <c r="O95" s="534"/>
      <c r="P95" s="534">
        <v>7.893472</v>
      </c>
      <c r="Q95" s="534">
        <v>6.4797580000000004</v>
      </c>
      <c r="R95" s="534">
        <v>5.5829570000000004</v>
      </c>
      <c r="S95" s="534">
        <v>5.5584059999999997</v>
      </c>
      <c r="T95" s="534">
        <v>6.0098560000000001</v>
      </c>
      <c r="U95" s="534">
        <v>5.9101309999999998</v>
      </c>
      <c r="V95" s="534">
        <v>6.5003700000000002</v>
      </c>
      <c r="W95" s="534">
        <v>7.1321159999999999</v>
      </c>
      <c r="X95" s="534">
        <v>7.7130549999999998</v>
      </c>
      <c r="Y95" s="534">
        <v>7.7921149999999999</v>
      </c>
      <c r="Z95" s="534">
        <v>8.9080539999999999</v>
      </c>
      <c r="AA95" s="534">
        <v>9.7380340000000007</v>
      </c>
      <c r="AB95" s="534">
        <v>9.9344819999999991</v>
      </c>
      <c r="AC95" s="534">
        <v>10.738009999999999</v>
      </c>
      <c r="AD95" s="534">
        <v>11.956989999999999</v>
      </c>
      <c r="AE95" s="534">
        <v>13.21078</v>
      </c>
      <c r="AF95" s="534">
        <v>13.79851</v>
      </c>
    </row>
    <row r="96" spans="1:32">
      <c r="A96" s="22">
        <v>705</v>
      </c>
      <c r="B96" s="22" t="s">
        <v>153</v>
      </c>
      <c r="N96" s="534"/>
      <c r="O96" s="534"/>
      <c r="P96" s="534">
        <v>75.343459999999993</v>
      </c>
      <c r="Q96" s="534">
        <v>73.824680000000001</v>
      </c>
      <c r="R96" s="534">
        <v>59.759990000000002</v>
      </c>
      <c r="S96" s="534">
        <v>55.638979999999997</v>
      </c>
      <c r="T96" s="534">
        <v>55.896680000000003</v>
      </c>
      <c r="U96" s="534">
        <v>53.214579999999998</v>
      </c>
      <c r="V96" s="534">
        <v>59.558540000000001</v>
      </c>
      <c r="W96" s="534">
        <v>67.664140000000003</v>
      </c>
      <c r="X96" s="534">
        <v>73.362690000000001</v>
      </c>
      <c r="Y96" s="534">
        <v>78.562470000000005</v>
      </c>
      <c r="Z96" s="534">
        <v>93.628380000000007</v>
      </c>
      <c r="AA96" s="534">
        <v>112.9846</v>
      </c>
      <c r="AB96" s="534">
        <v>135.6848</v>
      </c>
      <c r="AC96" s="534">
        <v>167.68790000000001</v>
      </c>
      <c r="AD96" s="534">
        <v>191.00380000000001</v>
      </c>
      <c r="AE96" s="534">
        <v>227.7825</v>
      </c>
      <c r="AF96" s="534">
        <v>200.6754</v>
      </c>
    </row>
    <row r="97" spans="1:32">
      <c r="A97" s="22">
        <v>812</v>
      </c>
      <c r="B97" s="22" t="s">
        <v>170</v>
      </c>
      <c r="C97" s="534">
        <v>1.254181</v>
      </c>
      <c r="D97" s="534">
        <v>1.5839719999999999</v>
      </c>
      <c r="E97" s="534">
        <v>1.745781</v>
      </c>
      <c r="F97" s="534">
        <v>1.874028</v>
      </c>
      <c r="G97" s="534">
        <v>1.997735</v>
      </c>
      <c r="H97" s="534">
        <v>2.3587030000000002</v>
      </c>
      <c r="I97" s="534">
        <v>2.4677989999999999</v>
      </c>
      <c r="J97" s="534">
        <v>2.506364</v>
      </c>
      <c r="K97" s="534">
        <v>2.640558</v>
      </c>
      <c r="L97" s="534">
        <v>3.0431159999999999</v>
      </c>
      <c r="M97" s="534">
        <v>3.3600599999999998</v>
      </c>
      <c r="N97" s="534">
        <v>3.6327150000000001</v>
      </c>
      <c r="O97" s="534">
        <v>3.9545590000000002</v>
      </c>
      <c r="P97" s="534">
        <v>4.2799440000000004</v>
      </c>
      <c r="Q97" s="534">
        <v>4.731681</v>
      </c>
      <c r="R97" s="534">
        <v>5.1684559999999999</v>
      </c>
      <c r="S97" s="534">
        <v>5.6608869999999998</v>
      </c>
      <c r="T97" s="534">
        <v>5.6924720000000004</v>
      </c>
      <c r="U97" s="534">
        <v>5.8757659999999996</v>
      </c>
      <c r="V97" s="534">
        <v>6.2530979999999996</v>
      </c>
      <c r="W97" s="534">
        <v>6.9009029999999996</v>
      </c>
      <c r="X97" s="534">
        <v>7.5778809999999996</v>
      </c>
      <c r="Y97" s="534">
        <v>8.1835459999999998</v>
      </c>
      <c r="Z97" s="534">
        <v>8.8799109999999999</v>
      </c>
      <c r="AA97" s="534">
        <v>9.5387129999999996</v>
      </c>
      <c r="AB97" s="534">
        <v>10.757110000000001</v>
      </c>
      <c r="AC97" s="534">
        <v>12.409230000000001</v>
      </c>
      <c r="AD97" s="534">
        <v>15.154920000000001</v>
      </c>
      <c r="AE97" s="534">
        <v>17.502549999999999</v>
      </c>
      <c r="AF97" s="534">
        <v>19.003260000000001</v>
      </c>
    </row>
    <row r="98" spans="1:32">
      <c r="A98" s="22">
        <v>367</v>
      </c>
      <c r="B98" s="22" t="s">
        <v>69</v>
      </c>
      <c r="N98" s="534"/>
      <c r="O98" s="534"/>
      <c r="P98" s="534">
        <v>14.41154</v>
      </c>
      <c r="Q98" s="534">
        <v>13.02821</v>
      </c>
      <c r="R98" s="534">
        <v>12.51356</v>
      </c>
      <c r="S98" s="534">
        <v>13.05072</v>
      </c>
      <c r="T98" s="534">
        <v>13.96082</v>
      </c>
      <c r="U98" s="534">
        <v>14.81865</v>
      </c>
      <c r="V98" s="534">
        <v>15.85487</v>
      </c>
      <c r="W98" s="534">
        <v>17.146560000000001</v>
      </c>
      <c r="X98" s="534">
        <v>18.895330000000001</v>
      </c>
      <c r="Y98" s="534">
        <v>20.34441</v>
      </c>
      <c r="Z98" s="534">
        <v>22.291170000000001</v>
      </c>
      <c r="AA98" s="534">
        <v>24.92633</v>
      </c>
      <c r="AB98" s="534">
        <v>28.51756</v>
      </c>
      <c r="AC98" s="534">
        <v>32.922890000000002</v>
      </c>
      <c r="AD98" s="534">
        <v>38.70411</v>
      </c>
      <c r="AE98" s="534">
        <v>38.237340000000003</v>
      </c>
      <c r="AF98" s="534">
        <v>31.534300000000002</v>
      </c>
    </row>
    <row r="99" spans="1:32">
      <c r="A99" s="22">
        <v>450</v>
      </c>
      <c r="B99" s="22" t="s">
        <v>94</v>
      </c>
      <c r="C99" s="534">
        <v>1.6333070000000001</v>
      </c>
      <c r="D99" s="534">
        <v>1.5976090000000001</v>
      </c>
      <c r="E99" s="534">
        <v>1.7938989999999999</v>
      </c>
      <c r="F99" s="534">
        <v>1.7081980000000001</v>
      </c>
      <c r="G99" s="534">
        <v>1.8145629999999999</v>
      </c>
      <c r="H99" s="534">
        <v>1.87551</v>
      </c>
      <c r="I99" s="534">
        <v>1.80826</v>
      </c>
      <c r="J99" s="534">
        <v>1.842368</v>
      </c>
      <c r="K99" s="534">
        <v>1.9867379999999999</v>
      </c>
      <c r="L99" s="534">
        <v>2.1169190000000002</v>
      </c>
      <c r="M99" s="534">
        <v>0.74383100000000002</v>
      </c>
      <c r="N99" s="534">
        <v>0.66939179999999998</v>
      </c>
      <c r="O99" s="534">
        <v>0.43834669999999998</v>
      </c>
      <c r="P99" s="534">
        <v>0.2997705</v>
      </c>
      <c r="Q99" s="534">
        <v>0.23936009999999999</v>
      </c>
      <c r="R99" s="534">
        <v>0.23346439999999999</v>
      </c>
      <c r="S99" s="534">
        <v>0.26698630000000001</v>
      </c>
      <c r="T99" s="534">
        <v>0.54527769999999998</v>
      </c>
      <c r="U99" s="534">
        <v>0.71228599999999997</v>
      </c>
      <c r="V99" s="534">
        <v>0.95359740000000004</v>
      </c>
      <c r="W99" s="534">
        <v>1.2005840000000001</v>
      </c>
      <c r="X99" s="534">
        <v>1.274187</v>
      </c>
      <c r="Y99" s="534">
        <v>1.3433759999999999</v>
      </c>
      <c r="Z99" s="534">
        <v>0.95695719999999995</v>
      </c>
      <c r="AA99" s="534">
        <v>1.0001549999999999</v>
      </c>
      <c r="AB99" s="534">
        <v>1.004111</v>
      </c>
      <c r="AC99" s="534">
        <v>1.137505</v>
      </c>
      <c r="AD99" s="534">
        <v>1.3152969999999999</v>
      </c>
      <c r="AE99" s="534">
        <v>1.443087</v>
      </c>
      <c r="AF99" s="534">
        <v>1.5230109999999999</v>
      </c>
    </row>
    <row r="100" spans="1:32">
      <c r="A100" s="22">
        <v>660</v>
      </c>
      <c r="B100" s="22" t="s">
        <v>138</v>
      </c>
      <c r="C100" s="534">
        <v>16.515250000000002</v>
      </c>
      <c r="D100" s="534">
        <v>18.820789999999999</v>
      </c>
      <c r="E100" s="534">
        <v>11.632379999999999</v>
      </c>
      <c r="F100" s="534">
        <v>17.546009999999999</v>
      </c>
      <c r="G100" s="534">
        <v>27.78304</v>
      </c>
      <c r="H100" s="534">
        <v>34.145580000000002</v>
      </c>
      <c r="I100" s="534">
        <v>30.403310000000001</v>
      </c>
      <c r="J100" s="534">
        <v>40.033250000000002</v>
      </c>
      <c r="K100" s="534">
        <v>29.864840000000001</v>
      </c>
      <c r="L100" s="534">
        <v>17.836220000000001</v>
      </c>
      <c r="M100" s="534">
        <v>18.611170000000001</v>
      </c>
      <c r="N100" s="534">
        <v>24.66555</v>
      </c>
      <c r="O100" s="534">
        <v>21.716919999999998</v>
      </c>
      <c r="P100" s="534">
        <v>24.21949</v>
      </c>
      <c r="Q100" s="534">
        <v>26.479859999999999</v>
      </c>
      <c r="R100" s="534">
        <v>28.883109999999999</v>
      </c>
      <c r="S100" s="534">
        <v>27.222829999999998</v>
      </c>
      <c r="T100" s="534">
        <v>31.567399999999999</v>
      </c>
      <c r="U100" s="534">
        <v>31.608309999999999</v>
      </c>
      <c r="V100" s="534">
        <v>29.249880000000001</v>
      </c>
      <c r="W100" s="534">
        <v>30.295000000000002</v>
      </c>
      <c r="X100" s="534">
        <v>32.530749999999998</v>
      </c>
      <c r="Y100" s="534">
        <v>34.050490000000003</v>
      </c>
      <c r="Z100" s="534">
        <v>35.302019999999999</v>
      </c>
      <c r="AA100" s="534">
        <v>37.603209999999997</v>
      </c>
      <c r="AB100" s="534">
        <v>38.96452</v>
      </c>
      <c r="AC100" s="534">
        <v>40.36242</v>
      </c>
      <c r="AD100" s="534">
        <v>45.000889999999998</v>
      </c>
      <c r="AE100" s="534">
        <v>54.077629999999999</v>
      </c>
      <c r="AF100" s="534">
        <v>59.780360000000002</v>
      </c>
    </row>
    <row r="101" spans="1:32">
      <c r="A101" s="22">
        <v>570</v>
      </c>
      <c r="B101" s="22" t="s">
        <v>121</v>
      </c>
      <c r="C101" s="534">
        <v>0.5901421</v>
      </c>
      <c r="D101" s="534">
        <v>0.66374169999999999</v>
      </c>
      <c r="E101" s="534">
        <v>0.68973419999999996</v>
      </c>
      <c r="F101" s="534">
        <v>0.69197830000000005</v>
      </c>
      <c r="G101" s="534">
        <v>0.72306700000000002</v>
      </c>
      <c r="H101" s="534">
        <v>0.78671340000000001</v>
      </c>
      <c r="I101" s="534">
        <v>0.7945257</v>
      </c>
      <c r="J101" s="534">
        <v>0.87794490000000003</v>
      </c>
      <c r="K101" s="534">
        <v>1.064762</v>
      </c>
      <c r="L101" s="534">
        <v>1.0964339999999999</v>
      </c>
      <c r="M101" s="534">
        <v>1.183854</v>
      </c>
      <c r="N101" s="534">
        <v>1.2297180000000001</v>
      </c>
      <c r="O101" s="534">
        <v>1.3434999999999999</v>
      </c>
      <c r="P101" s="534">
        <v>1.4814130000000001</v>
      </c>
      <c r="Q101" s="534">
        <v>1.5663199999999999</v>
      </c>
      <c r="R101" s="534">
        <v>1.67178</v>
      </c>
      <c r="S101" s="534">
        <v>1.856562</v>
      </c>
      <c r="T101" s="534">
        <v>2.0133480000000001</v>
      </c>
      <c r="U101" s="534">
        <v>1.9045840000000001</v>
      </c>
      <c r="V101" s="534">
        <v>1.8454200000000001</v>
      </c>
      <c r="W101" s="534">
        <v>1.809887</v>
      </c>
      <c r="X101" s="534">
        <v>1.8722799999999999</v>
      </c>
      <c r="Y101" s="534">
        <v>1.9300919999999999</v>
      </c>
      <c r="Z101" s="534">
        <v>2.0911029999999999</v>
      </c>
      <c r="AA101" s="534">
        <v>2.3723879999999999</v>
      </c>
      <c r="AB101" s="534">
        <v>2.2432599999999998</v>
      </c>
      <c r="AC101" s="534">
        <v>2.4901979999999999</v>
      </c>
      <c r="AD101" s="534">
        <v>2.7546759999999999</v>
      </c>
      <c r="AE101" s="534">
        <v>3.0272209999999999</v>
      </c>
      <c r="AF101" s="534">
        <v>3.0009209999999999</v>
      </c>
    </row>
    <row r="102" spans="1:32">
      <c r="A102" s="22">
        <v>620</v>
      </c>
      <c r="B102" s="22" t="s">
        <v>131</v>
      </c>
      <c r="I102" s="534">
        <v>30.886810000000001</v>
      </c>
      <c r="J102" s="534">
        <v>30.618220000000001</v>
      </c>
      <c r="K102" s="534">
        <v>33.74644</v>
      </c>
      <c r="L102" s="534">
        <v>34.70955</v>
      </c>
      <c r="M102" s="534">
        <v>31.36253</v>
      </c>
      <c r="N102" s="534">
        <v>32.274650000000001</v>
      </c>
      <c r="O102" s="534">
        <v>33.044199999999996</v>
      </c>
      <c r="P102" s="534">
        <v>31.809259999999998</v>
      </c>
      <c r="Q102" s="534">
        <v>33.455570000000002</v>
      </c>
      <c r="R102" s="534">
        <v>33.810519999999997</v>
      </c>
      <c r="S102" s="534">
        <v>37.772829999999999</v>
      </c>
      <c r="T102" s="534">
        <v>40.795549999999999</v>
      </c>
      <c r="U102" s="534">
        <v>37.046100000000003</v>
      </c>
      <c r="V102" s="534">
        <v>40.208889999999997</v>
      </c>
      <c r="W102" s="534">
        <v>49.265549999999998</v>
      </c>
      <c r="X102" s="534">
        <v>55.384390000000003</v>
      </c>
      <c r="Y102" s="534">
        <v>51.893210000000003</v>
      </c>
      <c r="Z102" s="534">
        <v>67.427809999999994</v>
      </c>
      <c r="AA102" s="534">
        <v>83.200329999999994</v>
      </c>
      <c r="AB102" s="534">
        <v>103.8554</v>
      </c>
      <c r="AC102" s="534">
        <v>102.2723</v>
      </c>
      <c r="AD102" s="534">
        <v>115.7358</v>
      </c>
      <c r="AE102" s="534">
        <v>123.90519999999999</v>
      </c>
      <c r="AF102" s="534">
        <v>121.4293</v>
      </c>
    </row>
    <row r="103" spans="1:32">
      <c r="A103" s="22">
        <v>368</v>
      </c>
      <c r="B103" s="22" t="s">
        <v>70</v>
      </c>
      <c r="N103" s="534"/>
      <c r="O103" s="534"/>
      <c r="P103" s="534">
        <v>19.580310000000001</v>
      </c>
      <c r="Q103" s="534">
        <v>18.27918</v>
      </c>
      <c r="R103" s="534">
        <v>19.171209999999999</v>
      </c>
      <c r="S103" s="534">
        <v>21.101420000000001</v>
      </c>
      <c r="T103" s="534">
        <v>23.381270000000001</v>
      </c>
      <c r="U103" s="534">
        <v>24.870999999999999</v>
      </c>
      <c r="V103" s="534">
        <v>25.31071</v>
      </c>
      <c r="W103" s="534">
        <v>27.588080000000001</v>
      </c>
      <c r="X103" s="534">
        <v>29.910350000000001</v>
      </c>
      <c r="Y103" s="534">
        <v>32.254600000000003</v>
      </c>
      <c r="Z103" s="534">
        <v>36.677430000000001</v>
      </c>
      <c r="AA103" s="534">
        <v>41.982219999999998</v>
      </c>
      <c r="AB103" s="534">
        <v>47.620809999999999</v>
      </c>
      <c r="AC103" s="534">
        <v>52.324460000000002</v>
      </c>
      <c r="AD103" s="534">
        <v>59.50253</v>
      </c>
      <c r="AE103" s="534">
        <v>64.338409999999996</v>
      </c>
      <c r="AF103" s="534">
        <v>54.981819999999999</v>
      </c>
    </row>
    <row r="104" spans="1:32">
      <c r="A104" s="22">
        <v>212</v>
      </c>
      <c r="B104" s="22" t="s">
        <v>39</v>
      </c>
      <c r="C104" s="534">
        <v>5.0380739999999999</v>
      </c>
      <c r="D104" s="534">
        <v>5.4391590000000001</v>
      </c>
      <c r="E104" s="534">
        <v>5.8765330000000002</v>
      </c>
      <c r="F104" s="534">
        <v>6.1730600000000004</v>
      </c>
      <c r="G104" s="534">
        <v>6.7398870000000004</v>
      </c>
      <c r="H104" s="534">
        <v>7.2594640000000004</v>
      </c>
      <c r="I104" s="534">
        <v>8.0687160000000002</v>
      </c>
      <c r="J104" s="534">
        <v>8.5783880000000003</v>
      </c>
      <c r="K104" s="534">
        <v>9.7664779999999993</v>
      </c>
      <c r="L104" s="534">
        <v>11.20787</v>
      </c>
      <c r="M104" s="534">
        <v>12.06911</v>
      </c>
      <c r="N104" s="534">
        <v>13.400869999999999</v>
      </c>
      <c r="O104" s="534">
        <v>13.69079</v>
      </c>
      <c r="P104" s="534">
        <v>14.94312</v>
      </c>
      <c r="Q104" s="534">
        <v>15.99471</v>
      </c>
      <c r="R104" s="534">
        <v>16.596959999999999</v>
      </c>
      <c r="S104" s="534">
        <v>17.42062</v>
      </c>
      <c r="T104" s="534">
        <v>18.063189999999999</v>
      </c>
      <c r="U104" s="534">
        <v>19.115819999999999</v>
      </c>
      <c r="V104" s="534">
        <v>21.747530000000001</v>
      </c>
      <c r="W104" s="534">
        <v>23.84918</v>
      </c>
      <c r="X104" s="534">
        <v>24.40419</v>
      </c>
      <c r="Y104" s="534">
        <v>26.048850000000002</v>
      </c>
      <c r="Z104" s="534">
        <v>28.11065</v>
      </c>
      <c r="AA104" s="534">
        <v>30.1157</v>
      </c>
      <c r="AB104" s="534">
        <v>33.34375</v>
      </c>
      <c r="AC104" s="534">
        <v>38.630609999999997</v>
      </c>
      <c r="AD104" s="534">
        <v>44.255690000000001</v>
      </c>
      <c r="AE104" s="534">
        <v>48.335740000000001</v>
      </c>
      <c r="AF104" s="534">
        <v>45.853319999999997</v>
      </c>
    </row>
    <row r="105" spans="1:32">
      <c r="A105" s="22">
        <v>435</v>
      </c>
      <c r="B105" s="22" t="s">
        <v>89</v>
      </c>
      <c r="C105" s="534">
        <v>1.050667</v>
      </c>
      <c r="D105" s="534">
        <v>1.2010719999999999</v>
      </c>
      <c r="E105" s="534">
        <v>1.1724650000000001</v>
      </c>
      <c r="F105" s="534">
        <v>1.242721</v>
      </c>
      <c r="G105" s="534">
        <v>1.255404</v>
      </c>
      <c r="H105" s="534">
        <v>1.3345640000000001</v>
      </c>
      <c r="I105" s="534">
        <v>1.4308860000000001</v>
      </c>
      <c r="J105" s="534">
        <v>1.5086999999999999</v>
      </c>
      <c r="K105" s="534">
        <v>1.587626</v>
      </c>
      <c r="L105" s="534">
        <v>1.7357210000000001</v>
      </c>
      <c r="M105" s="534">
        <v>1.7839499999999999</v>
      </c>
      <c r="N105" s="534">
        <v>1.900495</v>
      </c>
      <c r="O105" s="534">
        <v>1.953611</v>
      </c>
      <c r="P105" s="534">
        <v>2.1305040000000002</v>
      </c>
      <c r="Q105" s="534">
        <v>2.1034449999999998</v>
      </c>
      <c r="R105" s="534">
        <v>2.3550219999999999</v>
      </c>
      <c r="S105" s="534">
        <v>2.5512440000000001</v>
      </c>
      <c r="T105" s="534">
        <v>2.3397920000000001</v>
      </c>
      <c r="U105" s="534">
        <v>2.4180009999999998</v>
      </c>
      <c r="V105" s="534">
        <v>2.6238060000000001</v>
      </c>
      <c r="W105" s="534">
        <v>2.7327270000000001</v>
      </c>
      <c r="X105" s="534">
        <v>3.0054210000000001</v>
      </c>
      <c r="Y105" s="534">
        <v>2.9609760000000001</v>
      </c>
      <c r="Z105" s="534">
        <v>3.2053250000000002</v>
      </c>
      <c r="AA105" s="534">
        <v>3.538224</v>
      </c>
      <c r="AB105" s="534">
        <v>3.8986200000000002</v>
      </c>
      <c r="AC105" s="534">
        <v>5.1818590000000002</v>
      </c>
      <c r="AD105" s="534">
        <v>5.1741020000000004</v>
      </c>
      <c r="AE105" s="534">
        <v>5.5007630000000001</v>
      </c>
      <c r="AF105" s="534">
        <v>5.5055880000000004</v>
      </c>
    </row>
    <row r="106" spans="1:32">
      <c r="A106" s="22">
        <v>343</v>
      </c>
      <c r="B106" s="22" t="s">
        <v>57</v>
      </c>
      <c r="M106" s="534">
        <v>9.0256329999999991</v>
      </c>
      <c r="N106" s="534">
        <v>9.2930969999999995</v>
      </c>
      <c r="O106" s="534">
        <v>8.5984149999999993</v>
      </c>
      <c r="P106" s="534">
        <v>8.5942299999999996</v>
      </c>
      <c r="Q106" s="534">
        <v>8.8902680000000007</v>
      </c>
      <c r="R106" s="534">
        <v>9.4860589999999991</v>
      </c>
      <c r="S106" s="534">
        <v>9.7311759999999996</v>
      </c>
      <c r="T106" s="534">
        <v>9.8222450000000006</v>
      </c>
      <c r="U106" s="534">
        <v>10.09365</v>
      </c>
      <c r="V106" s="534">
        <v>10.847099999999999</v>
      </c>
      <c r="W106" s="534">
        <v>11.46481</v>
      </c>
      <c r="X106" s="534">
        <v>11.46926</v>
      </c>
      <c r="Y106" s="534">
        <v>11.63542</v>
      </c>
      <c r="Z106" s="534">
        <v>11.72062</v>
      </c>
      <c r="AA106" s="534">
        <v>12.423450000000001</v>
      </c>
      <c r="AB106" s="534">
        <v>13.527329999999999</v>
      </c>
      <c r="AC106" s="534">
        <v>14.78105</v>
      </c>
      <c r="AD106" s="534">
        <v>16.697330000000001</v>
      </c>
      <c r="AE106" s="534">
        <v>17.56335</v>
      </c>
      <c r="AF106" s="534">
        <v>17.908740000000002</v>
      </c>
    </row>
    <row r="107" spans="1:32">
      <c r="A107" s="22">
        <v>781</v>
      </c>
      <c r="B107" s="22" t="s">
        <v>166</v>
      </c>
      <c r="C107" s="534">
        <v>9.2742400000000003E-2</v>
      </c>
      <c r="D107" s="534">
        <v>0.1131289</v>
      </c>
      <c r="E107" s="534">
        <v>0.115401</v>
      </c>
      <c r="F107" s="534">
        <v>0.13845840000000001</v>
      </c>
      <c r="G107" s="534">
        <v>0.18248059999999999</v>
      </c>
      <c r="H107" s="534">
        <v>0.21247340000000001</v>
      </c>
      <c r="I107" s="534">
        <v>0.23783660000000001</v>
      </c>
      <c r="J107" s="534">
        <v>0.26800839999999998</v>
      </c>
      <c r="K107" s="534">
        <v>0.3012553</v>
      </c>
      <c r="L107" s="534">
        <v>0.34133089999999999</v>
      </c>
      <c r="M107" s="534">
        <v>0.41133740000000002</v>
      </c>
      <c r="N107" s="534">
        <v>0.46005639999999998</v>
      </c>
      <c r="O107" s="534">
        <v>0.49818249999999997</v>
      </c>
      <c r="P107" s="534">
        <v>0.54108829999999997</v>
      </c>
      <c r="Q107" s="534">
        <v>0.58366689999999999</v>
      </c>
      <c r="R107" s="534">
        <v>0.62859949999999998</v>
      </c>
      <c r="S107" s="534">
        <v>0.72006599999999998</v>
      </c>
      <c r="T107" s="534">
        <v>0.79760229999999999</v>
      </c>
      <c r="U107" s="534">
        <v>0.87669830000000004</v>
      </c>
      <c r="V107" s="534">
        <v>0.92229700000000003</v>
      </c>
      <c r="W107" s="534">
        <v>1.0206999999999999</v>
      </c>
      <c r="X107" s="534">
        <v>1.0747880000000001</v>
      </c>
      <c r="Y107" s="534">
        <v>1.1669639999999999</v>
      </c>
      <c r="Z107" s="534">
        <v>1.4491430000000001</v>
      </c>
      <c r="AA107" s="534">
        <v>1.3781080000000001</v>
      </c>
      <c r="AB107" s="534">
        <v>1.5734379999999999</v>
      </c>
      <c r="AC107" s="534">
        <v>1.787525</v>
      </c>
      <c r="AD107" s="534">
        <v>2.1579929999999998</v>
      </c>
      <c r="AE107" s="534">
        <v>2.380843</v>
      </c>
      <c r="AF107" s="534">
        <v>2.0323769999999999</v>
      </c>
    </row>
    <row r="108" spans="1:32">
      <c r="A108" s="22">
        <v>580</v>
      </c>
      <c r="B108" s="22" t="s">
        <v>124</v>
      </c>
      <c r="C108" s="534">
        <v>3.8853979999999999</v>
      </c>
      <c r="D108" s="534">
        <v>3.894676</v>
      </c>
      <c r="E108" s="534">
        <v>4.1468030000000002</v>
      </c>
      <c r="F108" s="534">
        <v>4.4027269999999996</v>
      </c>
      <c r="G108" s="534">
        <v>4.6390779999999996</v>
      </c>
      <c r="H108" s="534">
        <v>4.7941880000000001</v>
      </c>
      <c r="I108" s="534">
        <v>6.2781820000000002</v>
      </c>
      <c r="J108" s="534">
        <v>6.383114</v>
      </c>
      <c r="K108" s="534">
        <v>6.7880739999999999</v>
      </c>
      <c r="L108" s="534">
        <v>7.0026910000000004</v>
      </c>
      <c r="M108" s="534">
        <v>7.5004609999999996</v>
      </c>
      <c r="N108" s="534">
        <v>7.1362389999999998</v>
      </c>
      <c r="O108" s="534">
        <v>7.3392210000000002</v>
      </c>
      <c r="P108" s="534">
        <v>7.7675020000000004</v>
      </c>
      <c r="Q108" s="534">
        <v>7.9233919999999998</v>
      </c>
      <c r="R108" s="534">
        <v>8.2086109999999994</v>
      </c>
      <c r="S108" s="534">
        <v>8.7021069999999998</v>
      </c>
      <c r="T108" s="534">
        <v>9.0646640000000005</v>
      </c>
      <c r="U108" s="534">
        <v>9.6415839999999999</v>
      </c>
      <c r="V108" s="534">
        <v>10.16085</v>
      </c>
      <c r="W108" s="534">
        <v>10.94027</v>
      </c>
      <c r="X108" s="534">
        <v>11.97892</v>
      </c>
      <c r="Y108" s="534">
        <v>10.898490000000001</v>
      </c>
      <c r="Z108" s="534">
        <v>12.22953</v>
      </c>
      <c r="AA108" s="534">
        <v>12.84477</v>
      </c>
      <c r="AB108" s="534">
        <v>13.582179999999999</v>
      </c>
      <c r="AC108" s="534">
        <v>14.682040000000001</v>
      </c>
      <c r="AD108" s="534">
        <v>16.15785</v>
      </c>
      <c r="AE108" s="534">
        <v>18.603529999999999</v>
      </c>
      <c r="AF108" s="534">
        <v>18.084520000000001</v>
      </c>
    </row>
    <row r="109" spans="1:32">
      <c r="A109" s="22">
        <v>820</v>
      </c>
      <c r="B109" s="22" t="s">
        <v>172</v>
      </c>
      <c r="C109" s="534">
        <v>28.69669</v>
      </c>
      <c r="D109" s="534">
        <v>31.876439999999999</v>
      </c>
      <c r="E109" s="534">
        <v>35.480960000000003</v>
      </c>
      <c r="F109" s="534">
        <v>39.490650000000002</v>
      </c>
      <c r="G109" s="534">
        <v>46.130310000000001</v>
      </c>
      <c r="H109" s="534">
        <v>45.132449999999999</v>
      </c>
      <c r="I109" s="534">
        <v>42.047260000000001</v>
      </c>
      <c r="J109" s="534">
        <v>47.44699</v>
      </c>
      <c r="K109" s="534">
        <v>55.067860000000003</v>
      </c>
      <c r="L109" s="534">
        <v>62.538510000000002</v>
      </c>
      <c r="M109" s="534">
        <v>71.777410000000003</v>
      </c>
      <c r="N109" s="534">
        <v>82.275019999999998</v>
      </c>
      <c r="O109" s="534">
        <v>91.617570000000001</v>
      </c>
      <c r="P109" s="534">
        <v>104.7045</v>
      </c>
      <c r="Q109" s="534">
        <v>118.41249999999999</v>
      </c>
      <c r="R109" s="534">
        <v>136.95570000000001</v>
      </c>
      <c r="S109" s="534">
        <v>153.47030000000001</v>
      </c>
      <c r="T109" s="534">
        <v>166.06549999999999</v>
      </c>
      <c r="U109" s="534">
        <v>153.75919999999999</v>
      </c>
      <c r="V109" s="534">
        <v>164.86019999999999</v>
      </c>
      <c r="W109" s="534">
        <v>187.56950000000001</v>
      </c>
      <c r="X109" s="534">
        <v>185.89269999999999</v>
      </c>
      <c r="Y109" s="534">
        <v>200.923</v>
      </c>
      <c r="Z109" s="534">
        <v>220.92750000000001</v>
      </c>
      <c r="AA109" s="534">
        <v>249.0899</v>
      </c>
      <c r="AB109" s="534">
        <v>278.3329</v>
      </c>
      <c r="AC109" s="534">
        <v>309.9778</v>
      </c>
      <c r="AD109" s="534">
        <v>337.37220000000002</v>
      </c>
      <c r="AE109" s="534">
        <v>380.87310000000002</v>
      </c>
      <c r="AF109" s="534">
        <v>355.46960000000001</v>
      </c>
    </row>
    <row r="110" spans="1:32">
      <c r="A110" s="22">
        <v>590</v>
      </c>
      <c r="B110" s="22" t="s">
        <v>126</v>
      </c>
      <c r="C110" s="534">
        <v>1.429235</v>
      </c>
      <c r="D110" s="534">
        <v>1.6292249999999999</v>
      </c>
      <c r="E110" s="534">
        <v>1.7362709999999999</v>
      </c>
      <c r="F110" s="534">
        <v>1.8602939999999999</v>
      </c>
      <c r="G110" s="534">
        <v>2.0284270000000002</v>
      </c>
      <c r="H110" s="534">
        <v>2.2203149999999998</v>
      </c>
      <c r="I110" s="534">
        <v>2.7302559999999998</v>
      </c>
      <c r="J110" s="534">
        <v>3.2428949999999999</v>
      </c>
      <c r="K110" s="534">
        <v>3.5193349999999999</v>
      </c>
      <c r="L110" s="534">
        <v>3.6706120000000002</v>
      </c>
      <c r="M110" s="534">
        <v>4.2095900000000004</v>
      </c>
      <c r="N110" s="534">
        <v>4.4616020000000001</v>
      </c>
      <c r="O110" s="534">
        <v>4.8577370000000002</v>
      </c>
      <c r="P110" s="534">
        <v>5.0932060000000003</v>
      </c>
      <c r="Q110" s="534">
        <v>5.3637600000000001</v>
      </c>
      <c r="R110" s="534">
        <v>5.7042099999999998</v>
      </c>
      <c r="S110" s="534">
        <v>6.2070259999999999</v>
      </c>
      <c r="T110" s="534">
        <v>6.6560949999999997</v>
      </c>
      <c r="U110" s="534">
        <v>7.3376140000000003</v>
      </c>
      <c r="V110" s="534">
        <v>7.6125920000000002</v>
      </c>
      <c r="W110" s="534">
        <v>8.4658200000000008</v>
      </c>
      <c r="X110" s="534">
        <v>8.739967</v>
      </c>
      <c r="Y110" s="534">
        <v>9.3916760000000004</v>
      </c>
      <c r="Z110" s="534">
        <v>9.8727859999999996</v>
      </c>
      <c r="AA110" s="534">
        <v>10.50498</v>
      </c>
      <c r="AB110" s="534">
        <v>10.34108</v>
      </c>
      <c r="AC110" s="534">
        <v>10.68196</v>
      </c>
      <c r="AD110" s="534">
        <v>11.648630000000001</v>
      </c>
      <c r="AE110" s="534">
        <v>12.13602</v>
      </c>
      <c r="AF110" s="534">
        <v>12.877610000000001</v>
      </c>
    </row>
    <row r="111" spans="1:32">
      <c r="A111" s="22">
        <v>553</v>
      </c>
      <c r="B111" s="22" t="s">
        <v>118</v>
      </c>
      <c r="C111" s="534">
        <v>2.944375</v>
      </c>
      <c r="D111" s="534">
        <v>2.676663</v>
      </c>
      <c r="E111" s="534">
        <v>2.805958</v>
      </c>
      <c r="F111" s="534">
        <v>2.9425659999999998</v>
      </c>
      <c r="G111" s="534">
        <v>3.2173940000000001</v>
      </c>
      <c r="H111" s="534">
        <v>3.3861110000000001</v>
      </c>
      <c r="I111" s="534">
        <v>3.2807010000000001</v>
      </c>
      <c r="J111" s="534">
        <v>3.375489</v>
      </c>
      <c r="K111" s="534">
        <v>3.6259540000000001</v>
      </c>
      <c r="L111" s="534">
        <v>3.961249</v>
      </c>
      <c r="M111" s="534">
        <v>4.1835319999999996</v>
      </c>
      <c r="N111" s="534">
        <v>5.0911559999999998</v>
      </c>
      <c r="O111" s="534">
        <v>4.6728230000000002</v>
      </c>
      <c r="P111" s="534">
        <v>5.0786490000000004</v>
      </c>
      <c r="Q111" s="534">
        <v>4.1737070000000003</v>
      </c>
      <c r="R111" s="534">
        <v>4.7850929999999998</v>
      </c>
      <c r="S111" s="534">
        <v>5.1225230000000002</v>
      </c>
      <c r="T111" s="534">
        <v>5.7303600000000001</v>
      </c>
      <c r="U111" s="534">
        <v>5.5093930000000002</v>
      </c>
      <c r="V111" s="534">
        <v>5.7463329999999999</v>
      </c>
      <c r="W111" s="534">
        <v>5.8933739999999997</v>
      </c>
      <c r="X111" s="534">
        <v>5.793571</v>
      </c>
      <c r="Y111" s="534">
        <v>5.9566049999999997</v>
      </c>
      <c r="Z111" s="534">
        <v>6.4546609999999998</v>
      </c>
      <c r="AA111" s="534">
        <v>7.0921110000000001</v>
      </c>
      <c r="AB111" s="534">
        <v>7.2541060000000002</v>
      </c>
      <c r="AC111" s="534">
        <v>8.8503279999999993</v>
      </c>
      <c r="AD111" s="534">
        <v>9.0498449999999995</v>
      </c>
      <c r="AE111" s="534">
        <v>10.236929999999999</v>
      </c>
      <c r="AF111" s="534">
        <v>11.26984</v>
      </c>
    </row>
    <row r="112" spans="1:32">
      <c r="A112" s="22">
        <v>70</v>
      </c>
      <c r="B112" s="22" t="s">
        <v>15</v>
      </c>
      <c r="C112" s="534">
        <v>319.95119999999997</v>
      </c>
      <c r="D112" s="534">
        <v>381.8295</v>
      </c>
      <c r="E112" s="534">
        <v>405.89109999999999</v>
      </c>
      <c r="F112" s="534">
        <v>403.9212</v>
      </c>
      <c r="G112" s="534">
        <v>428.3578</v>
      </c>
      <c r="H112" s="534">
        <v>444.78919999999999</v>
      </c>
      <c r="I112" s="534">
        <v>424.66489999999999</v>
      </c>
      <c r="J112" s="534">
        <v>452.32530000000003</v>
      </c>
      <c r="K112" s="534">
        <v>456.49829999999997</v>
      </c>
      <c r="L112" s="534">
        <v>492.61270000000002</v>
      </c>
      <c r="M112" s="534">
        <v>542.84190000000001</v>
      </c>
      <c r="N112" s="534">
        <v>582.11929999999995</v>
      </c>
      <c r="O112" s="534">
        <v>618.50720000000001</v>
      </c>
      <c r="P112" s="534">
        <v>645.22249999999997</v>
      </c>
      <c r="Q112" s="534">
        <v>687.02120000000002</v>
      </c>
      <c r="R112" s="534">
        <v>651.45910000000003</v>
      </c>
      <c r="S112" s="534">
        <v>694.62350000000004</v>
      </c>
      <c r="T112" s="534">
        <v>751.43399999999997</v>
      </c>
      <c r="U112" s="534">
        <v>785.62490000000003</v>
      </c>
      <c r="V112" s="534">
        <v>835.22640000000001</v>
      </c>
      <c r="W112" s="534">
        <v>922.39779999999996</v>
      </c>
      <c r="X112" s="534">
        <v>946.48209999999995</v>
      </c>
      <c r="Y112" s="534">
        <v>973.46770000000004</v>
      </c>
      <c r="Z112" s="534">
        <v>1004.9450000000001</v>
      </c>
      <c r="AA112" s="534">
        <v>1073.193</v>
      </c>
      <c r="AB112" s="534">
        <v>1270.6949999999999</v>
      </c>
      <c r="AC112" s="534">
        <v>1388.4880000000001</v>
      </c>
      <c r="AD112" s="534">
        <v>1481.2339999999999</v>
      </c>
      <c r="AE112" s="534">
        <v>1557.829</v>
      </c>
      <c r="AF112" s="534">
        <v>1433.2360000000001</v>
      </c>
    </row>
    <row r="113" spans="1:33">
      <c r="A113" s="22">
        <v>359</v>
      </c>
      <c r="B113" s="22" t="s">
        <v>65</v>
      </c>
      <c r="N113" s="534"/>
      <c r="O113" s="534">
        <v>7.1245320000000003</v>
      </c>
      <c r="P113" s="534">
        <v>7.1313599999999999</v>
      </c>
      <c r="Q113" s="534">
        <v>5.5114570000000001</v>
      </c>
      <c r="R113" s="534">
        <v>5.749352</v>
      </c>
      <c r="S113" s="534">
        <v>5.7894220000000001</v>
      </c>
      <c r="T113" s="534">
        <v>6.2957429999999999</v>
      </c>
      <c r="U113" s="534">
        <v>6.0123379999999997</v>
      </c>
      <c r="V113" s="534">
        <v>5.6929080000000001</v>
      </c>
      <c r="W113" s="534">
        <v>6.040362</v>
      </c>
      <c r="X113" s="534">
        <v>6.5910029999999997</v>
      </c>
      <c r="Y113" s="534">
        <v>7.2406170000000003</v>
      </c>
      <c r="Z113" s="534">
        <v>8.0241150000000001</v>
      </c>
      <c r="AA113" s="534">
        <v>8.750864</v>
      </c>
      <c r="AB113" s="534">
        <v>9.7094869999999993</v>
      </c>
      <c r="AC113" s="534">
        <v>10.49118</v>
      </c>
      <c r="AD113" s="534">
        <v>11.172639999999999</v>
      </c>
      <c r="AE113" s="534">
        <v>12.20417</v>
      </c>
      <c r="AF113" s="534">
        <v>11.905139999999999</v>
      </c>
    </row>
    <row r="114" spans="1:33">
      <c r="A114" s="22">
        <v>432</v>
      </c>
      <c r="B114" s="22" t="s">
        <v>86</v>
      </c>
      <c r="C114" s="534">
        <v>2.0482490000000002</v>
      </c>
      <c r="D114" s="534">
        <v>2.3337129999999999</v>
      </c>
      <c r="E114" s="534">
        <v>2.6094339999999998</v>
      </c>
      <c r="F114" s="534">
        <v>2.5629559999999998</v>
      </c>
      <c r="G114" s="534">
        <v>2.6767439999999998</v>
      </c>
      <c r="H114" s="534">
        <v>2.9767199999999998</v>
      </c>
      <c r="I114" s="534">
        <v>3.5355310000000002</v>
      </c>
      <c r="J114" s="534">
        <v>3.5619459999999998</v>
      </c>
      <c r="K114" s="534">
        <v>3.4618120000000001</v>
      </c>
      <c r="L114" s="534">
        <v>3.8841450000000002</v>
      </c>
      <c r="M114" s="534">
        <v>4.149559</v>
      </c>
      <c r="N114" s="534">
        <v>4.1747569999999996</v>
      </c>
      <c r="O114" s="534">
        <v>4.7117180000000003</v>
      </c>
      <c r="P114" s="534">
        <v>5.0384869999999999</v>
      </c>
      <c r="Q114" s="534">
        <v>5.1392600000000002</v>
      </c>
      <c r="R114" s="534">
        <v>5.5907179999999999</v>
      </c>
      <c r="S114" s="534">
        <v>6.1963480000000004</v>
      </c>
      <c r="T114" s="534">
        <v>6.7210039999999998</v>
      </c>
      <c r="U114" s="534">
        <v>7.3051009999999996</v>
      </c>
      <c r="V114" s="534">
        <v>7.5178029999999998</v>
      </c>
      <c r="W114" s="534">
        <v>7.263757</v>
      </c>
      <c r="X114" s="534">
        <v>8.7245480000000004</v>
      </c>
      <c r="Y114" s="534">
        <v>9.0933089999999996</v>
      </c>
      <c r="Z114" s="534">
        <v>9.4784310000000005</v>
      </c>
      <c r="AA114" s="534">
        <v>10.15255</v>
      </c>
      <c r="AB114" s="534">
        <v>10.80602</v>
      </c>
      <c r="AC114" s="534">
        <v>12.34718</v>
      </c>
      <c r="AD114" s="534">
        <v>13.25136</v>
      </c>
      <c r="AE114" s="534">
        <v>14.57583</v>
      </c>
      <c r="AF114" s="534">
        <v>15.42722</v>
      </c>
    </row>
    <row r="115" spans="1:33">
      <c r="A115" s="22">
        <v>338</v>
      </c>
      <c r="B115" s="22" t="s">
        <v>55</v>
      </c>
      <c r="C115" s="534">
        <v>1.425044</v>
      </c>
      <c r="D115" s="534">
        <v>1.6460189999999999</v>
      </c>
      <c r="E115" s="534">
        <v>1.834228</v>
      </c>
      <c r="F115" s="534">
        <v>1.8241160000000001</v>
      </c>
      <c r="G115" s="534">
        <v>1.903877</v>
      </c>
      <c r="H115" s="534">
        <v>2.0062380000000002</v>
      </c>
      <c r="I115" s="534">
        <v>2.1356169999999999</v>
      </c>
      <c r="J115" s="534">
        <v>2.2944969999999998</v>
      </c>
      <c r="K115" s="534">
        <v>2.6559870000000001</v>
      </c>
      <c r="L115" s="534">
        <v>2.9468200000000002</v>
      </c>
      <c r="M115" s="534">
        <v>3.2543449999999998</v>
      </c>
      <c r="N115" s="534">
        <v>3.580565</v>
      </c>
      <c r="O115" s="534">
        <v>3.7246929999999998</v>
      </c>
      <c r="P115" s="534">
        <v>3.9217379999999999</v>
      </c>
      <c r="Q115" s="534">
        <v>4.2362200000000003</v>
      </c>
      <c r="R115" s="534">
        <v>4.6160139999999998</v>
      </c>
      <c r="S115" s="534">
        <v>4.8439189999999996</v>
      </c>
      <c r="T115" s="534">
        <v>5.4774839999999996</v>
      </c>
      <c r="U115" s="534">
        <v>6.0094620000000001</v>
      </c>
      <c r="V115" s="534">
        <v>6.4679060000000002</v>
      </c>
      <c r="W115" s="534">
        <v>6.7094279999999999</v>
      </c>
      <c r="X115" s="534">
        <v>6.6897060000000002</v>
      </c>
      <c r="Y115" s="534">
        <v>7.0475289999999999</v>
      </c>
      <c r="Z115" s="534">
        <v>7.3285119999999999</v>
      </c>
      <c r="AA115" s="534">
        <v>7.5741719999999999</v>
      </c>
      <c r="AB115" s="534">
        <v>8.2240470000000006</v>
      </c>
      <c r="AC115" s="534">
        <v>8.8126700000000007</v>
      </c>
      <c r="AD115" s="534">
        <v>9.4652580000000004</v>
      </c>
      <c r="AE115" s="534">
        <v>9.8227250000000002</v>
      </c>
      <c r="AF115" s="534">
        <v>9.7120080000000009</v>
      </c>
    </row>
    <row r="116" spans="1:33">
      <c r="A116" s="22">
        <v>221</v>
      </c>
      <c r="B116" s="22" t="s">
        <v>41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</row>
    <row r="117" spans="1:33">
      <c r="A117" s="22">
        <v>341</v>
      </c>
      <c r="B117" s="22" t="s">
        <v>193</v>
      </c>
      <c r="M117" s="534">
        <v>3.8677090000000001</v>
      </c>
      <c r="N117" s="534">
        <v>3.5719889999999999</v>
      </c>
      <c r="O117" s="534">
        <v>2.789698</v>
      </c>
      <c r="P117" s="534">
        <v>1.8072010000000001</v>
      </c>
      <c r="Q117" s="534">
        <v>1.8724270000000001</v>
      </c>
      <c r="R117" s="534">
        <v>2.181603</v>
      </c>
      <c r="S117" s="534">
        <v>2.83413</v>
      </c>
      <c r="T117" s="534">
        <v>3.0675249999999998</v>
      </c>
      <c r="U117" s="534">
        <v>3.2250450000000002</v>
      </c>
      <c r="V117" s="534">
        <v>3.004543</v>
      </c>
      <c r="W117" s="534">
        <v>3.1659280000000001</v>
      </c>
      <c r="X117" s="534">
        <v>3.2698399999999999</v>
      </c>
      <c r="Y117" s="534">
        <v>3.398536</v>
      </c>
      <c r="Z117" s="534">
        <v>3.5532870000000001</v>
      </c>
      <c r="AA117" s="534">
        <v>3.82579</v>
      </c>
      <c r="AB117" s="534">
        <v>4.1161289999999999</v>
      </c>
      <c r="AC117" s="534">
        <v>4.76851</v>
      </c>
      <c r="AD117" s="534">
        <v>5.566859</v>
      </c>
      <c r="AE117" s="534">
        <v>5.9175509999999996</v>
      </c>
      <c r="AF117" s="534">
        <v>5.3938030000000001</v>
      </c>
    </row>
    <row r="118" spans="1:33">
      <c r="A118" s="22">
        <v>712</v>
      </c>
      <c r="B118" s="22" t="s">
        <v>155</v>
      </c>
      <c r="C118" s="534">
        <v>1.5669470000000001</v>
      </c>
      <c r="D118" s="534">
        <v>1.778883</v>
      </c>
      <c r="E118" s="534">
        <v>2.1552859999999998</v>
      </c>
      <c r="F118" s="534">
        <v>2.4411870000000002</v>
      </c>
      <c r="G118" s="534">
        <v>2.7917420000000002</v>
      </c>
      <c r="H118" s="534">
        <v>2.8988130000000001</v>
      </c>
      <c r="I118" s="534">
        <v>3.2147109999999999</v>
      </c>
      <c r="J118" s="534">
        <v>3.5321720000000001</v>
      </c>
      <c r="K118" s="534">
        <v>3.8613460000000002</v>
      </c>
      <c r="L118" s="534">
        <v>4.3296650000000003</v>
      </c>
      <c r="M118" s="534">
        <v>5.4689620000000003</v>
      </c>
      <c r="N118" s="534">
        <v>3.9765109999999999</v>
      </c>
      <c r="O118" s="534">
        <v>3.5279929999999999</v>
      </c>
      <c r="P118" s="534">
        <v>3.2542170000000001</v>
      </c>
      <c r="Q118" s="534">
        <v>3.412785</v>
      </c>
      <c r="R118" s="534">
        <v>4.0930960000000001</v>
      </c>
      <c r="S118" s="534">
        <v>3.9902519999999999</v>
      </c>
      <c r="T118" s="534">
        <v>4.372077</v>
      </c>
      <c r="U118" s="534">
        <v>4.1071689999999998</v>
      </c>
      <c r="V118" s="534">
        <v>4.1712689999999997</v>
      </c>
      <c r="W118" s="534">
        <v>4.5677810000000001</v>
      </c>
      <c r="X118" s="534">
        <v>4.6448650000000002</v>
      </c>
      <c r="Y118" s="534">
        <v>4.6796470000000001</v>
      </c>
      <c r="Z118" s="534">
        <v>5.0617660000000004</v>
      </c>
      <c r="AA118" s="534">
        <v>6.098287</v>
      </c>
      <c r="AB118" s="534">
        <v>7.4630939999999999</v>
      </c>
      <c r="AC118" s="534">
        <v>10.1273</v>
      </c>
      <c r="AD118" s="534">
        <v>11.53571</v>
      </c>
      <c r="AE118" s="534">
        <v>12.19603</v>
      </c>
      <c r="AF118" s="534">
        <v>11.54921</v>
      </c>
    </row>
    <row r="119" spans="1:33">
      <c r="A119" s="22">
        <v>600</v>
      </c>
      <c r="B119" s="22" t="s">
        <v>128</v>
      </c>
      <c r="C119" s="534">
        <v>19.675830000000001</v>
      </c>
      <c r="D119" s="534">
        <v>20.314350000000001</v>
      </c>
      <c r="E119" s="534">
        <v>23.05301</v>
      </c>
      <c r="F119" s="534">
        <v>23.526789999999998</v>
      </c>
      <c r="G119" s="534">
        <v>25.22579</v>
      </c>
      <c r="H119" s="534">
        <v>27.896280000000001</v>
      </c>
      <c r="I119" s="534">
        <v>30.99879</v>
      </c>
      <c r="J119" s="534">
        <v>31.770710000000001</v>
      </c>
      <c r="K119" s="534">
        <v>36.695239999999998</v>
      </c>
      <c r="L119" s="534">
        <v>38.63964</v>
      </c>
      <c r="M119" s="534">
        <v>41.472389999999997</v>
      </c>
      <c r="N119" s="534">
        <v>45.60886</v>
      </c>
      <c r="O119" s="534">
        <v>45.449680000000001</v>
      </c>
      <c r="P119" s="534">
        <v>44.586950000000002</v>
      </c>
      <c r="Q119" s="534">
        <v>48.819850000000002</v>
      </c>
      <c r="R119" s="534">
        <v>47.948839999999997</v>
      </c>
      <c r="S119" s="534">
        <v>54.477989999999998</v>
      </c>
      <c r="T119" s="534">
        <v>54.702680000000001</v>
      </c>
      <c r="U119" s="534">
        <v>59.292760000000001</v>
      </c>
      <c r="V119" s="534">
        <v>59.903790000000001</v>
      </c>
      <c r="W119" s="534">
        <v>62.228009999999998</v>
      </c>
      <c r="X119" s="534">
        <v>67.909189999999995</v>
      </c>
      <c r="Y119" s="534">
        <v>71.663700000000006</v>
      </c>
      <c r="Z119" s="534">
        <v>79.097459999999998</v>
      </c>
      <c r="AA119" s="534">
        <v>85.753879999999995</v>
      </c>
      <c r="AB119" s="534">
        <v>91.045670000000001</v>
      </c>
      <c r="AC119" s="534">
        <v>100.90860000000001</v>
      </c>
      <c r="AD119" s="534">
        <v>108.00839999999999</v>
      </c>
      <c r="AE119" s="534">
        <v>118.608</v>
      </c>
      <c r="AF119" s="534">
        <v>117.1082</v>
      </c>
    </row>
    <row r="120" spans="1:33">
      <c r="A120" s="22">
        <v>983</v>
      </c>
      <c r="B120" s="22" t="s">
        <v>187</v>
      </c>
      <c r="C120" s="534">
        <v>0.1022334</v>
      </c>
      <c r="D120" s="534">
        <v>0.12121800000000001</v>
      </c>
      <c r="E120" s="534">
        <v>0.13164439999999999</v>
      </c>
      <c r="F120" s="534">
        <v>0.15670120000000001</v>
      </c>
      <c r="G120" s="534">
        <v>0.1607789</v>
      </c>
      <c r="H120" s="534">
        <v>0.1655866</v>
      </c>
      <c r="I120" s="534">
        <v>0.20761689999999999</v>
      </c>
      <c r="J120" s="534">
        <v>0.24446280000000001</v>
      </c>
      <c r="K120" s="534">
        <v>0.2720804</v>
      </c>
      <c r="L120" s="534">
        <v>0.2847827</v>
      </c>
      <c r="M120" s="534">
        <v>0.32808739999999997</v>
      </c>
      <c r="N120" s="534">
        <v>0.36013089999999998</v>
      </c>
      <c r="O120" s="534">
        <v>0.3659558</v>
      </c>
      <c r="P120" s="534">
        <v>0.35915160000000002</v>
      </c>
      <c r="Q120" s="534">
        <v>0.36115829999999999</v>
      </c>
      <c r="R120" s="534">
        <v>0.36802049999999997</v>
      </c>
      <c r="S120" s="534">
        <v>0.32626359999999999</v>
      </c>
      <c r="T120" s="534">
        <v>0.31585679999999999</v>
      </c>
      <c r="U120" s="534">
        <v>0.3051024</v>
      </c>
      <c r="V120" s="534">
        <v>0.3021181</v>
      </c>
      <c r="W120" s="534">
        <v>0.32508209999999998</v>
      </c>
      <c r="X120" s="534">
        <v>0.34026810000000002</v>
      </c>
      <c r="Y120" s="534">
        <v>0.36056729999999998</v>
      </c>
      <c r="Z120" s="534">
        <v>0.38021959999999999</v>
      </c>
      <c r="AA120" s="534">
        <v>0.4142401</v>
      </c>
      <c r="AB120" s="534">
        <v>0.44452750000000002</v>
      </c>
      <c r="AC120" s="534">
        <v>0.4656189</v>
      </c>
      <c r="AD120" s="534">
        <v>0.48902600000000002</v>
      </c>
      <c r="AE120" s="534">
        <v>0.51338289999999998</v>
      </c>
      <c r="AF120" s="534">
        <v>0.51631360000000004</v>
      </c>
    </row>
    <row r="121" spans="1:33">
      <c r="A121" s="22">
        <v>775</v>
      </c>
      <c r="B121" s="22" t="s">
        <v>164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</row>
    <row r="122" spans="1:33">
      <c r="A122" s="22">
        <v>541</v>
      </c>
      <c r="B122" s="22" t="s">
        <v>115</v>
      </c>
      <c r="C122" s="534">
        <v>3.171773</v>
      </c>
      <c r="D122" s="534">
        <v>3.4542130000000002</v>
      </c>
      <c r="E122" s="534">
        <v>3.579183</v>
      </c>
      <c r="F122" s="534">
        <v>3.370914</v>
      </c>
      <c r="G122" s="534">
        <v>3.6351610000000001</v>
      </c>
      <c r="H122" s="534">
        <v>3.435832</v>
      </c>
      <c r="I122" s="534">
        <v>3.60181</v>
      </c>
      <c r="J122" s="534">
        <v>3.3106170000000001</v>
      </c>
      <c r="K122" s="534">
        <v>3.3822399999999999</v>
      </c>
      <c r="L122" s="534">
        <v>3.7689460000000001</v>
      </c>
      <c r="M122" s="534">
        <v>3.8029229999999998</v>
      </c>
      <c r="N122" s="534">
        <v>3.9706570000000001</v>
      </c>
      <c r="O122" s="534">
        <v>3.5859969999999999</v>
      </c>
      <c r="P122" s="534">
        <v>3.8759000000000001</v>
      </c>
      <c r="Q122" s="534">
        <v>4.3851990000000001</v>
      </c>
      <c r="R122" s="534">
        <v>4.472289</v>
      </c>
      <c r="S122" s="534">
        <v>5.0124339999999998</v>
      </c>
      <c r="T122" s="534">
        <v>5.6621040000000002</v>
      </c>
      <c r="U122" s="534">
        <v>6.3515899999999998</v>
      </c>
      <c r="V122" s="534">
        <v>6.8147260000000003</v>
      </c>
      <c r="W122" s="534">
        <v>6.9866229999999998</v>
      </c>
      <c r="X122" s="534">
        <v>7.850924</v>
      </c>
      <c r="Y122" s="534">
        <v>9.0665580000000006</v>
      </c>
      <c r="Z122" s="534">
        <v>10.0046</v>
      </c>
      <c r="AA122" s="534">
        <v>11.15774</v>
      </c>
      <c r="AB122" s="534">
        <v>12.780709999999999</v>
      </c>
      <c r="AC122" s="534">
        <v>14.47259</v>
      </c>
      <c r="AD122" s="534">
        <v>16.197230000000001</v>
      </c>
      <c r="AE122" s="534">
        <v>17.922000000000001</v>
      </c>
      <c r="AF122" s="534">
        <v>18.25714</v>
      </c>
    </row>
    <row r="123" spans="1:33">
      <c r="A123" s="22">
        <v>565</v>
      </c>
      <c r="B123" s="22" t="s">
        <v>120</v>
      </c>
      <c r="C123" s="534">
        <v>2.4372250000000002</v>
      </c>
      <c r="D123" s="534">
        <v>2.5041479999999998</v>
      </c>
      <c r="E123" s="534">
        <v>2.5178639999999999</v>
      </c>
      <c r="F123" s="534">
        <v>2.4786600000000001</v>
      </c>
      <c r="G123" s="534">
        <v>2.5701860000000001</v>
      </c>
      <c r="H123" s="534">
        <v>2.7049120000000002</v>
      </c>
      <c r="I123" s="534">
        <v>2.7173370000000001</v>
      </c>
      <c r="J123" s="534">
        <v>3.3927320000000001</v>
      </c>
      <c r="K123" s="534">
        <v>3.6642269999999999</v>
      </c>
      <c r="L123" s="534">
        <v>3.8649879999999999</v>
      </c>
      <c r="M123" s="534">
        <v>3.927937</v>
      </c>
      <c r="N123" s="534">
        <v>3.8051710000000001</v>
      </c>
      <c r="O123" s="534">
        <v>4.1462719999999997</v>
      </c>
      <c r="P123" s="534">
        <v>4.0651989999999998</v>
      </c>
      <c r="Q123" s="534">
        <v>4.6446889999999996</v>
      </c>
      <c r="R123" s="534">
        <v>4.7263700000000002</v>
      </c>
      <c r="S123" s="534">
        <v>5.3755119999999996</v>
      </c>
      <c r="T123" s="534">
        <v>5.480467</v>
      </c>
      <c r="U123" s="534">
        <v>5.9347989999999999</v>
      </c>
      <c r="V123" s="534">
        <v>6.1304949999999998</v>
      </c>
      <c r="W123" s="534">
        <v>6.6392239999999996</v>
      </c>
      <c r="X123" s="534">
        <v>7.3171559999999998</v>
      </c>
      <c r="Y123" s="534">
        <v>7.9501520000000001</v>
      </c>
      <c r="Z123" s="534">
        <v>8.2270479999999999</v>
      </c>
      <c r="AA123" s="534">
        <v>8.3836569999999995</v>
      </c>
      <c r="AB123" s="534">
        <v>8.8388609999999996</v>
      </c>
      <c r="AC123" s="534">
        <v>10.54847</v>
      </c>
      <c r="AD123" s="534">
        <v>11.47505</v>
      </c>
      <c r="AE123" s="534">
        <v>12.667109999999999</v>
      </c>
      <c r="AF123" s="534">
        <v>12.30353</v>
      </c>
      <c r="AG123" s="534"/>
    </row>
    <row r="124" spans="1:33">
      <c r="A124" s="22">
        <v>790</v>
      </c>
      <c r="B124" s="22" t="s">
        <v>167</v>
      </c>
      <c r="C124" s="534">
        <v>5.0139589999999998</v>
      </c>
      <c r="D124" s="534">
        <v>5.9418540000000002</v>
      </c>
      <c r="E124" s="534">
        <v>6.5407080000000004</v>
      </c>
      <c r="F124" s="534">
        <v>6.6185879999999999</v>
      </c>
      <c r="G124" s="534">
        <v>7.5052779999999997</v>
      </c>
      <c r="H124" s="534">
        <v>8.1981750000000009</v>
      </c>
      <c r="I124" s="534">
        <v>8.7493850000000002</v>
      </c>
      <c r="J124" s="534">
        <v>9.1753689999999999</v>
      </c>
      <c r="K124" s="534">
        <v>10.212059999999999</v>
      </c>
      <c r="L124" s="534">
        <v>11.112629999999999</v>
      </c>
      <c r="M124" s="534">
        <v>12.02608</v>
      </c>
      <c r="N124" s="534">
        <v>13.24812</v>
      </c>
      <c r="O124" s="534">
        <v>14.00296</v>
      </c>
      <c r="P124" s="534">
        <v>14.878299999999999</v>
      </c>
      <c r="Q124" s="534">
        <v>16.31588</v>
      </c>
      <c r="R124" s="534">
        <v>17.310320000000001</v>
      </c>
      <c r="S124" s="534">
        <v>18.531500000000001</v>
      </c>
      <c r="T124" s="534">
        <v>19.694970000000001</v>
      </c>
      <c r="U124" s="534">
        <v>20.459790000000002</v>
      </c>
      <c r="V124" s="534">
        <v>21.69652</v>
      </c>
      <c r="W124" s="534">
        <v>23.549489999999999</v>
      </c>
      <c r="X124" s="534">
        <v>24.088629999999998</v>
      </c>
      <c r="Y124" s="534">
        <v>25.51951</v>
      </c>
      <c r="Z124" s="534">
        <v>27.410019999999999</v>
      </c>
      <c r="AA124" s="534">
        <v>29.164539999999999</v>
      </c>
      <c r="AB124" s="534">
        <v>28.334230000000002</v>
      </c>
      <c r="AC124" s="534">
        <v>29.973220000000001</v>
      </c>
      <c r="AD124" s="534">
        <v>32.147579999999998</v>
      </c>
      <c r="AE124" s="534">
        <v>35.339039999999997</v>
      </c>
      <c r="AF124" s="534">
        <v>37.58822</v>
      </c>
    </row>
    <row r="125" spans="1:33">
      <c r="A125" s="22">
        <v>920</v>
      </c>
      <c r="B125" s="22" t="s">
        <v>179</v>
      </c>
      <c r="C125" s="534">
        <v>25.564029999999999</v>
      </c>
      <c r="D125" s="534">
        <v>28.751519999999999</v>
      </c>
      <c r="E125" s="534">
        <v>30.46199</v>
      </c>
      <c r="F125" s="534">
        <v>33.16628</v>
      </c>
      <c r="G125" s="534">
        <v>35.622860000000003</v>
      </c>
      <c r="H125" s="534">
        <v>36.849539999999998</v>
      </c>
      <c r="I125" s="534">
        <v>39.493049999999997</v>
      </c>
      <c r="J125" s="534">
        <v>41.910879999999999</v>
      </c>
      <c r="K125" s="534">
        <v>44.677759999999999</v>
      </c>
      <c r="L125" s="534">
        <v>46.360570000000003</v>
      </c>
      <c r="M125" s="534">
        <v>47.685119999999998</v>
      </c>
      <c r="N125" s="534">
        <v>48.763359999999999</v>
      </c>
      <c r="O125" s="534">
        <v>50.346049999999998</v>
      </c>
      <c r="P125" s="534">
        <v>54.777920000000002</v>
      </c>
      <c r="Q125" s="534">
        <v>58.913939999999997</v>
      </c>
      <c r="R125" s="534">
        <v>62.561959999999999</v>
      </c>
      <c r="S125" s="534">
        <v>65.737759999999994</v>
      </c>
      <c r="T125" s="534">
        <v>68.381889999999999</v>
      </c>
      <c r="U125" s="534">
        <v>69.346599999999995</v>
      </c>
      <c r="V125" s="534">
        <v>73.690960000000004</v>
      </c>
      <c r="W125" s="534">
        <v>77.499499999999998</v>
      </c>
      <c r="X125" s="534">
        <v>82.829700000000003</v>
      </c>
      <c r="Y125" s="534">
        <v>87.855350000000001</v>
      </c>
      <c r="Z125" s="534">
        <v>94.983149999999995</v>
      </c>
      <c r="AA125" s="534">
        <v>102.3151</v>
      </c>
      <c r="AB125" s="534">
        <v>111.1135</v>
      </c>
      <c r="AC125" s="534">
        <v>117.14279999999999</v>
      </c>
      <c r="AD125" s="534">
        <v>127.1678</v>
      </c>
      <c r="AE125" s="534">
        <v>129.1576</v>
      </c>
      <c r="AF125" s="534">
        <v>129.74850000000001</v>
      </c>
    </row>
    <row r="126" spans="1:33">
      <c r="A126" s="22">
        <v>93</v>
      </c>
      <c r="B126" s="22" t="s">
        <v>20</v>
      </c>
      <c r="C126" s="534">
        <v>4.6787169999999998</v>
      </c>
      <c r="D126" s="534">
        <v>5.387143</v>
      </c>
      <c r="E126" s="534">
        <v>5.8087689999999998</v>
      </c>
      <c r="F126" s="534">
        <v>6.2145520000000003</v>
      </c>
      <c r="G126" s="534">
        <v>6.5317410000000002</v>
      </c>
      <c r="H126" s="534">
        <v>7.1607659999999997</v>
      </c>
      <c r="I126" s="534">
        <v>7.2464680000000001</v>
      </c>
      <c r="J126" s="534">
        <v>7.8019350000000003</v>
      </c>
      <c r="K126" s="534">
        <v>5.8318950000000003</v>
      </c>
      <c r="L126" s="534">
        <v>5.449605</v>
      </c>
      <c r="M126" s="534">
        <v>6.0247039999999998</v>
      </c>
      <c r="N126" s="534">
        <v>6.1115919999999999</v>
      </c>
      <c r="O126" s="534">
        <v>6.1712049999999996</v>
      </c>
      <c r="P126" s="534">
        <v>6.1530050000000003</v>
      </c>
      <c r="Q126" s="534">
        <v>6.5596180000000004</v>
      </c>
      <c r="R126" s="534">
        <v>7.1798650000000004</v>
      </c>
      <c r="S126" s="534">
        <v>7.5699490000000003</v>
      </c>
      <c r="T126" s="534">
        <v>7.8988339999999999</v>
      </c>
      <c r="U126" s="534">
        <v>8.3494240000000008</v>
      </c>
      <c r="V126" s="534">
        <v>8.8669550000000008</v>
      </c>
      <c r="W126" s="534">
        <v>9.2920079999999992</v>
      </c>
      <c r="X126" s="534">
        <v>9.6340439999999994</v>
      </c>
      <c r="Y126" s="534">
        <v>9.8567649999999993</v>
      </c>
      <c r="Z126" s="534">
        <v>10.19666</v>
      </c>
      <c r="AA126" s="534">
        <v>10.88275</v>
      </c>
      <c r="AB126" s="534">
        <v>10.828440000000001</v>
      </c>
      <c r="AC126" s="534">
        <v>11.42412</v>
      </c>
      <c r="AD126" s="534">
        <v>12.03459</v>
      </c>
      <c r="AE126" s="534">
        <v>12.883279999999999</v>
      </c>
      <c r="AF126" s="534">
        <v>13.88829</v>
      </c>
    </row>
    <row r="127" spans="1:33">
      <c r="A127" s="22">
        <v>475</v>
      </c>
      <c r="B127" s="22" t="s">
        <v>99</v>
      </c>
      <c r="C127" s="534">
        <v>54.96622</v>
      </c>
      <c r="D127" s="534">
        <v>65.323620000000005</v>
      </c>
      <c r="E127" s="534">
        <v>63.839930000000003</v>
      </c>
      <c r="F127" s="534">
        <v>57.858139999999999</v>
      </c>
      <c r="G127" s="534">
        <v>56.35557</v>
      </c>
      <c r="H127" s="534">
        <v>63.223579999999998</v>
      </c>
      <c r="I127" s="534">
        <v>51.169710000000002</v>
      </c>
      <c r="J127" s="534">
        <v>45.277630000000002</v>
      </c>
      <c r="K127" s="534">
        <v>50.548520000000003</v>
      </c>
      <c r="L127" s="534">
        <v>61.472760000000001</v>
      </c>
      <c r="M127" s="534">
        <v>70.518940000000001</v>
      </c>
      <c r="N127" s="534">
        <v>75.539770000000004</v>
      </c>
      <c r="O127" s="534">
        <v>81.515730000000005</v>
      </c>
      <c r="P127" s="534">
        <v>79.298310000000001</v>
      </c>
      <c r="Q127" s="534">
        <v>73.790580000000006</v>
      </c>
      <c r="R127" s="534">
        <v>82.962609999999998</v>
      </c>
      <c r="S127" s="534">
        <v>96.953630000000004</v>
      </c>
      <c r="T127" s="534">
        <v>94.799970000000002</v>
      </c>
      <c r="U127" s="534">
        <v>86.118120000000005</v>
      </c>
      <c r="V127" s="534">
        <v>97.770229999999998</v>
      </c>
      <c r="W127" s="534">
        <v>126.807</v>
      </c>
      <c r="X127" s="534">
        <v>144.45769999999999</v>
      </c>
      <c r="Y127" s="534">
        <v>176.03809999999999</v>
      </c>
      <c r="Z127" s="534">
        <v>206.93680000000001</v>
      </c>
      <c r="AA127" s="534">
        <v>193.51220000000001</v>
      </c>
      <c r="AB127" s="534">
        <v>212.28210000000001</v>
      </c>
      <c r="AC127" s="534">
        <v>227.05160000000001</v>
      </c>
      <c r="AD127" s="534">
        <v>299.79899999999998</v>
      </c>
      <c r="AE127" s="534">
        <v>310.22309999999999</v>
      </c>
      <c r="AF127" s="534">
        <v>354.15550000000002</v>
      </c>
    </row>
    <row r="128" spans="1:33">
      <c r="A128" s="22">
        <v>436</v>
      </c>
      <c r="B128" s="22" t="s">
        <v>90</v>
      </c>
      <c r="C128" s="534">
        <v>2.1770610000000001</v>
      </c>
      <c r="D128" s="534">
        <v>2.3366660000000001</v>
      </c>
      <c r="E128" s="534">
        <v>2.5927349999999998</v>
      </c>
      <c r="F128" s="534">
        <v>2.6203669999999999</v>
      </c>
      <c r="G128" s="534">
        <v>2.1936870000000002</v>
      </c>
      <c r="H128" s="534">
        <v>2.3813179999999998</v>
      </c>
      <c r="I128" s="534">
        <v>2.4758719999999999</v>
      </c>
      <c r="J128" s="534">
        <v>2.725492</v>
      </c>
      <c r="K128" s="534">
        <v>3.9332310000000001</v>
      </c>
      <c r="L128" s="534">
        <v>3.858641</v>
      </c>
      <c r="M128" s="534">
        <v>3.655643</v>
      </c>
      <c r="N128" s="534">
        <v>3.5563850000000001</v>
      </c>
      <c r="O128" s="534">
        <v>3.3105090000000001</v>
      </c>
      <c r="P128" s="534">
        <v>3.4906030000000001</v>
      </c>
      <c r="Q128" s="534">
        <v>3.7303350000000002</v>
      </c>
      <c r="R128" s="534">
        <v>3.7972630000000001</v>
      </c>
      <c r="S128" s="534">
        <v>3.9722499999999998</v>
      </c>
      <c r="T128" s="534">
        <v>4.0631769999999996</v>
      </c>
      <c r="U128" s="534">
        <v>4.545668</v>
      </c>
      <c r="V128" s="534">
        <v>4.6455450000000003</v>
      </c>
      <c r="W128" s="534">
        <v>4.5897059999999996</v>
      </c>
      <c r="X128" s="534">
        <v>5.0951700000000004</v>
      </c>
      <c r="Y128" s="534">
        <v>5.5057770000000001</v>
      </c>
      <c r="Z128" s="534">
        <v>6.1292900000000001</v>
      </c>
      <c r="AA128" s="534">
        <v>6.1420700000000004</v>
      </c>
      <c r="AB128" s="534">
        <v>6.9185739999999996</v>
      </c>
      <c r="AC128" s="534">
        <v>7.5046650000000001</v>
      </c>
      <c r="AD128" s="534">
        <v>7.9719720000000001</v>
      </c>
      <c r="AE128" s="534">
        <v>8.7387779999999999</v>
      </c>
      <c r="AF128" s="534">
        <v>8.6702670000000008</v>
      </c>
    </row>
    <row r="129" spans="1:32">
      <c r="A129" s="22">
        <v>385</v>
      </c>
      <c r="B129" s="22" t="s">
        <v>78</v>
      </c>
      <c r="C129" s="534">
        <v>50.370049999999999</v>
      </c>
      <c r="D129" s="534">
        <v>56.540489999999998</v>
      </c>
      <c r="E129" s="534">
        <v>59.409030000000001</v>
      </c>
      <c r="F129" s="534">
        <v>63.033209999999997</v>
      </c>
      <c r="G129" s="534">
        <v>69.561580000000006</v>
      </c>
      <c r="H129" s="534">
        <v>74.304000000000002</v>
      </c>
      <c r="I129" s="534">
        <v>73.676500000000004</v>
      </c>
      <c r="J129" s="534">
        <v>76.210430000000002</v>
      </c>
      <c r="K129" s="534">
        <v>77.591930000000005</v>
      </c>
      <c r="L129" s="534">
        <v>82.289500000000004</v>
      </c>
      <c r="M129" s="534">
        <v>87.637749999999997</v>
      </c>
      <c r="N129" s="534">
        <v>92.682929999999999</v>
      </c>
      <c r="O129" s="534">
        <v>95.586489999999998</v>
      </c>
      <c r="P129" s="534">
        <v>100.6185</v>
      </c>
      <c r="Q129" s="534">
        <v>106.33069999999999</v>
      </c>
      <c r="R129" s="534">
        <v>113.7265</v>
      </c>
      <c r="S129" s="534">
        <v>123.889</v>
      </c>
      <c r="T129" s="534">
        <v>133.54429999999999</v>
      </c>
      <c r="U129" s="534">
        <v>133.0583</v>
      </c>
      <c r="V129" s="534">
        <v>143.251</v>
      </c>
      <c r="W129" s="534">
        <v>168.70660000000001</v>
      </c>
      <c r="X129" s="534">
        <v>172.51939999999999</v>
      </c>
      <c r="Y129" s="534">
        <v>172.08779999999999</v>
      </c>
      <c r="Z129" s="534">
        <v>177.6361</v>
      </c>
      <c r="AA129" s="534">
        <v>197.2158</v>
      </c>
      <c r="AB129" s="534">
        <v>223.6867</v>
      </c>
      <c r="AC129" s="534">
        <v>249.83109999999999</v>
      </c>
      <c r="AD129" s="534">
        <v>262.42950000000002</v>
      </c>
      <c r="AE129" s="534">
        <v>289.32760000000002</v>
      </c>
      <c r="AF129" s="534">
        <v>263.34109999999998</v>
      </c>
    </row>
    <row r="130" spans="1:32">
      <c r="A130" s="22">
        <v>210</v>
      </c>
      <c r="B130" s="22" t="s">
        <v>37</v>
      </c>
      <c r="C130" s="534">
        <v>165.9699</v>
      </c>
      <c r="D130" s="534">
        <v>181.05439999999999</v>
      </c>
      <c r="E130" s="534">
        <v>190.50909999999999</v>
      </c>
      <c r="F130" s="534">
        <v>199.71549999999999</v>
      </c>
      <c r="G130" s="534">
        <v>212.62360000000001</v>
      </c>
      <c r="H130" s="534">
        <v>223.72819999999999</v>
      </c>
      <c r="I130" s="534">
        <v>235.51439999999999</v>
      </c>
      <c r="J130" s="534">
        <v>245.0121</v>
      </c>
      <c r="K130" s="534">
        <v>260.7921</v>
      </c>
      <c r="L130" s="534">
        <v>281.44470000000001</v>
      </c>
      <c r="M130" s="534">
        <v>304.87790000000001</v>
      </c>
      <c r="N130" s="534">
        <v>324.3879</v>
      </c>
      <c r="O130" s="534">
        <v>336.63060000000002</v>
      </c>
      <c r="P130" s="534">
        <v>347.81619999999998</v>
      </c>
      <c r="Q130" s="534">
        <v>365.15390000000002</v>
      </c>
      <c r="R130" s="534">
        <v>384.07709999999997</v>
      </c>
      <c r="S130" s="534">
        <v>402.06990000000002</v>
      </c>
      <c r="T130" s="534">
        <v>428.53030000000001</v>
      </c>
      <c r="U130" s="534">
        <v>448.25420000000003</v>
      </c>
      <c r="V130" s="534">
        <v>475.85770000000002</v>
      </c>
      <c r="W130" s="534">
        <v>508.34949999999998</v>
      </c>
      <c r="X130" s="534">
        <v>534.07640000000004</v>
      </c>
      <c r="Y130" s="534">
        <v>549.76769999999999</v>
      </c>
      <c r="Z130" s="534">
        <v>564.67930000000001</v>
      </c>
      <c r="AA130" s="534">
        <v>592.25519999999995</v>
      </c>
      <c r="AB130" s="534">
        <v>628.1472</v>
      </c>
      <c r="AC130" s="534">
        <v>674.58849999999995</v>
      </c>
      <c r="AD130" s="534">
        <v>723.96839999999997</v>
      </c>
      <c r="AE130" s="534">
        <v>768.87509999999997</v>
      </c>
      <c r="AF130" s="34">
        <v>745.25640999999996</v>
      </c>
    </row>
    <row r="131" spans="1:32">
      <c r="A131" s="22">
        <v>698</v>
      </c>
      <c r="B131" s="22" t="s">
        <v>147</v>
      </c>
      <c r="C131" s="534">
        <v>6.3007679999999997</v>
      </c>
      <c r="D131" s="534">
        <v>8.2473469999999995</v>
      </c>
      <c r="E131" s="534">
        <v>9.2259379999999993</v>
      </c>
      <c r="F131" s="534">
        <v>9.7687349999999995</v>
      </c>
      <c r="G131" s="534">
        <v>11.26366</v>
      </c>
      <c r="H131" s="534">
        <v>13.18974</v>
      </c>
      <c r="I131" s="534">
        <v>10.22335</v>
      </c>
      <c r="J131" s="534">
        <v>9.8908059999999995</v>
      </c>
      <c r="K131" s="534">
        <v>9.1117709999999992</v>
      </c>
      <c r="L131" s="534">
        <v>10.228960000000001</v>
      </c>
      <c r="M131" s="534">
        <v>12.47481</v>
      </c>
      <c r="N131" s="534">
        <v>12.82258</v>
      </c>
      <c r="O131" s="534">
        <v>14.43159</v>
      </c>
      <c r="P131" s="534">
        <v>15.20804</v>
      </c>
      <c r="Q131" s="534">
        <v>15.288729999999999</v>
      </c>
      <c r="R131" s="534">
        <v>16.566120000000002</v>
      </c>
      <c r="S131" s="534">
        <v>18.254010000000001</v>
      </c>
      <c r="T131" s="534">
        <v>22.90314</v>
      </c>
      <c r="U131" s="534">
        <v>22.234819999999999</v>
      </c>
      <c r="V131" s="534">
        <v>24.079149999999998</v>
      </c>
      <c r="W131" s="534">
        <v>29.088249999999999</v>
      </c>
      <c r="X131" s="534">
        <v>30.273230000000002</v>
      </c>
      <c r="Y131" s="534">
        <v>32.597700000000003</v>
      </c>
      <c r="Z131" s="534">
        <v>36.819540000000003</v>
      </c>
      <c r="AA131" s="534">
        <v>43.353810000000003</v>
      </c>
      <c r="AB131" s="534">
        <v>49.605029999999999</v>
      </c>
      <c r="AC131" s="534">
        <v>57.599510000000002</v>
      </c>
      <c r="AD131" s="534">
        <v>65.728279999999998</v>
      </c>
      <c r="AE131" s="534">
        <v>88.493639999999999</v>
      </c>
      <c r="AF131" s="534">
        <v>77.269279999999995</v>
      </c>
    </row>
    <row r="132" spans="1:32">
      <c r="A132" s="22">
        <v>770</v>
      </c>
      <c r="B132" s="22" t="s">
        <v>162</v>
      </c>
      <c r="C132" s="534">
        <v>66.066599999999994</v>
      </c>
      <c r="D132" s="534">
        <v>76.313370000000006</v>
      </c>
      <c r="E132" s="534">
        <v>85.373140000000006</v>
      </c>
      <c r="F132" s="534">
        <v>93.930769999999995</v>
      </c>
      <c r="G132" s="534">
        <v>104.9402</v>
      </c>
      <c r="H132" s="534">
        <v>112.60899999999999</v>
      </c>
      <c r="I132" s="534">
        <v>122.93899999999999</v>
      </c>
      <c r="J132" s="534">
        <v>135.3398</v>
      </c>
      <c r="K132" s="534">
        <v>145.3751</v>
      </c>
      <c r="L132" s="534">
        <v>157.30709999999999</v>
      </c>
      <c r="M132" s="534">
        <v>168.28440000000001</v>
      </c>
      <c r="N132" s="534">
        <v>189.61519999999999</v>
      </c>
      <c r="O132" s="534">
        <v>196.29429999999999</v>
      </c>
      <c r="P132" s="534">
        <v>207.6078</v>
      </c>
      <c r="Q132" s="534">
        <v>224.87880000000001</v>
      </c>
      <c r="R132" s="534">
        <v>241.63509999999999</v>
      </c>
      <c r="S132" s="534">
        <v>248.5291</v>
      </c>
      <c r="T132" s="534">
        <v>225.0787</v>
      </c>
      <c r="U132" s="534">
        <v>238.47900000000001</v>
      </c>
      <c r="V132" s="534">
        <v>247.9485</v>
      </c>
      <c r="W132" s="534">
        <v>258.209</v>
      </c>
      <c r="X132" s="534">
        <v>266.26679999999999</v>
      </c>
      <c r="Y132" s="534">
        <v>279.82979999999998</v>
      </c>
      <c r="Z132" s="534">
        <v>294.37830000000002</v>
      </c>
      <c r="AA132" s="534">
        <v>324.23719999999997</v>
      </c>
      <c r="AB132" s="534">
        <v>357.58530000000002</v>
      </c>
      <c r="AC132" s="534">
        <v>385.20150000000001</v>
      </c>
      <c r="AD132" s="534">
        <v>417.35050000000001</v>
      </c>
      <c r="AE132" s="534">
        <v>434.9819</v>
      </c>
      <c r="AF132" s="534">
        <v>442.67349999999999</v>
      </c>
    </row>
    <row r="133" spans="1:32">
      <c r="A133" s="22">
        <v>986</v>
      </c>
      <c r="B133" s="22" t="s">
        <v>188</v>
      </c>
      <c r="C133" s="534">
        <v>0.11775629999999999</v>
      </c>
      <c r="D133" s="534">
        <v>0.1158685</v>
      </c>
      <c r="E133" s="534">
        <v>0.1258861</v>
      </c>
      <c r="F133" s="534">
        <v>0.12854360000000001</v>
      </c>
      <c r="G133" s="534">
        <v>0.1360643</v>
      </c>
      <c r="H133" s="534">
        <v>0.12770490000000001</v>
      </c>
      <c r="I133" s="534">
        <v>0.12930359999999999</v>
      </c>
      <c r="J133" s="534">
        <v>0.13198950000000001</v>
      </c>
      <c r="K133" s="534">
        <v>0.1647516</v>
      </c>
      <c r="L133" s="534">
        <v>0.1776682</v>
      </c>
      <c r="M133" s="534">
        <v>0.19707279999999999</v>
      </c>
      <c r="N133" s="534">
        <v>0.1992236</v>
      </c>
      <c r="O133" s="534">
        <v>0.1910876</v>
      </c>
      <c r="P133" s="534">
        <v>0.1639795</v>
      </c>
      <c r="Q133" s="534">
        <v>0.17871400000000001</v>
      </c>
      <c r="R133" s="534">
        <v>0.20842069999999999</v>
      </c>
      <c r="S133" s="534">
        <v>0.2398546</v>
      </c>
      <c r="T133" s="534">
        <v>0.24029249999999999</v>
      </c>
      <c r="U133" s="534">
        <v>0.2352639</v>
      </c>
      <c r="V133" s="534">
        <v>0.22651560000000001</v>
      </c>
      <c r="W133" s="534">
        <v>0.23671030000000001</v>
      </c>
      <c r="X133" s="534">
        <v>0.2480435</v>
      </c>
      <c r="Y133" s="534">
        <v>0.25035069999999998</v>
      </c>
      <c r="Z133" s="534">
        <v>0.249</v>
      </c>
      <c r="AA133" s="534">
        <v>0.27152969999999998</v>
      </c>
      <c r="AB133" s="534">
        <v>0.2883289</v>
      </c>
      <c r="AC133" s="534">
        <v>0.31433220000000001</v>
      </c>
      <c r="AD133" s="534">
        <v>0.3326769</v>
      </c>
      <c r="AE133" s="534">
        <v>0.33948279999999997</v>
      </c>
      <c r="AF133" s="534">
        <v>0.35137790000000002</v>
      </c>
    </row>
    <row r="134" spans="1:32">
      <c r="A134" s="22">
        <v>95</v>
      </c>
      <c r="B134" s="22" t="s">
        <v>22</v>
      </c>
      <c r="C134" s="534">
        <v>4.600759</v>
      </c>
      <c r="D134" s="534">
        <v>5.3844909999999997</v>
      </c>
      <c r="E134" s="534">
        <v>5.7827900000000003</v>
      </c>
      <c r="F134" s="534">
        <v>6.1929730000000003</v>
      </c>
      <c r="G134" s="534">
        <v>6.5061369999999998</v>
      </c>
      <c r="H134" s="534">
        <v>6.8784390000000002</v>
      </c>
      <c r="I134" s="534">
        <v>7.4898309999999997</v>
      </c>
      <c r="J134" s="534">
        <v>8.1009820000000001</v>
      </c>
      <c r="K134" s="534">
        <v>7.4032840000000002</v>
      </c>
      <c r="L134" s="534">
        <v>7.7513690000000004</v>
      </c>
      <c r="M134" s="534">
        <v>8.4466629999999991</v>
      </c>
      <c r="N134" s="534">
        <v>9.7322279999999992</v>
      </c>
      <c r="O134" s="534">
        <v>10.76136</v>
      </c>
      <c r="P134" s="534">
        <v>11.64377</v>
      </c>
      <c r="Q134" s="534">
        <v>12.151960000000001</v>
      </c>
      <c r="R134" s="534">
        <v>12.34211</v>
      </c>
      <c r="S134" s="534">
        <v>13.200010000000001</v>
      </c>
      <c r="T134" s="534">
        <v>14.55627</v>
      </c>
      <c r="U134" s="534">
        <v>15.61097</v>
      </c>
      <c r="V134" s="534">
        <v>16.212990000000001</v>
      </c>
      <c r="W134" s="534">
        <v>16.888719999999999</v>
      </c>
      <c r="X134" s="534">
        <v>17.489719999999998</v>
      </c>
      <c r="Y134" s="534">
        <v>18.381070000000001</v>
      </c>
      <c r="Z134" s="534">
        <v>20.390789999999999</v>
      </c>
      <c r="AA134" s="534">
        <v>21.726790000000001</v>
      </c>
      <c r="AB134" s="534">
        <v>24.671099999999999</v>
      </c>
      <c r="AC134" s="534">
        <v>27.234870000000001</v>
      </c>
      <c r="AD134" s="534">
        <v>30.754280000000001</v>
      </c>
      <c r="AE134" s="534">
        <v>34.650930000000002</v>
      </c>
      <c r="AF134" s="534">
        <v>38.425280000000001</v>
      </c>
    </row>
    <row r="135" spans="1:32">
      <c r="A135" s="22">
        <v>150</v>
      </c>
      <c r="B135" s="22" t="s">
        <v>31</v>
      </c>
      <c r="C135" s="534">
        <v>5.8627770000000003</v>
      </c>
      <c r="D135" s="534">
        <v>7.1322279999999996</v>
      </c>
      <c r="E135" s="534">
        <v>7.3169040000000001</v>
      </c>
      <c r="F135" s="534">
        <v>7.1117429999999997</v>
      </c>
      <c r="G135" s="534">
        <v>7.8678549999999996</v>
      </c>
      <c r="H135" s="534">
        <v>8.5536399999999997</v>
      </c>
      <c r="I135" s="534">
        <v>8.8298819999999996</v>
      </c>
      <c r="J135" s="534">
        <v>9.3233689999999996</v>
      </c>
      <c r="K135" s="534">
        <v>10.888019999999999</v>
      </c>
      <c r="L135" s="534">
        <v>12.383800000000001</v>
      </c>
      <c r="M135" s="534">
        <v>12.65357</v>
      </c>
      <c r="N135" s="534">
        <v>13.246230000000001</v>
      </c>
      <c r="O135" s="534">
        <v>13.5343</v>
      </c>
      <c r="P135" s="534">
        <v>14.76112</v>
      </c>
      <c r="Q135" s="534">
        <v>15.19594</v>
      </c>
      <c r="R135" s="534">
        <v>16.143219999999999</v>
      </c>
      <c r="S135" s="534">
        <v>16.861830000000001</v>
      </c>
      <c r="T135" s="534">
        <v>17.459700000000002</v>
      </c>
      <c r="U135" s="534">
        <v>17.705310000000001</v>
      </c>
      <c r="V135" s="534">
        <v>17.266480000000001</v>
      </c>
      <c r="W135" s="534">
        <v>16.56551</v>
      </c>
      <c r="X135" s="534">
        <v>17.64696</v>
      </c>
      <c r="Y135" s="534">
        <v>17.25376</v>
      </c>
      <c r="Z135" s="534">
        <v>18.268260000000001</v>
      </c>
      <c r="AA135" s="534">
        <v>19.876639999999998</v>
      </c>
      <c r="AB135" s="534">
        <v>21.063970000000001</v>
      </c>
      <c r="AC135" s="534">
        <v>22.777729999999998</v>
      </c>
      <c r="AD135" s="534">
        <v>25.470189999999999</v>
      </c>
      <c r="AE135" s="534">
        <v>27.888100000000001</v>
      </c>
      <c r="AF135" s="534">
        <v>26.76031</v>
      </c>
    </row>
    <row r="136" spans="1:32">
      <c r="A136" s="22">
        <v>135</v>
      </c>
      <c r="B136" s="22" t="s">
        <v>28</v>
      </c>
      <c r="C136" s="534">
        <v>48.781500000000001</v>
      </c>
      <c r="D136" s="534">
        <v>53.87726</v>
      </c>
      <c r="E136" s="534">
        <v>56.536209999999997</v>
      </c>
      <c r="F136" s="534">
        <v>51.54307</v>
      </c>
      <c r="G136" s="534">
        <v>56.265709999999999</v>
      </c>
      <c r="H136" s="534">
        <v>58.487310000000001</v>
      </c>
      <c r="I136" s="534">
        <v>64.273899999999998</v>
      </c>
      <c r="J136" s="534">
        <v>74.266139999999993</v>
      </c>
      <c r="K136" s="534">
        <v>72.043300000000002</v>
      </c>
      <c r="L136" s="534">
        <v>60.664810000000003</v>
      </c>
      <c r="M136" s="534">
        <v>63.539679999999997</v>
      </c>
      <c r="N136" s="534">
        <v>66.121729999999999</v>
      </c>
      <c r="O136" s="534">
        <v>67.326729999999998</v>
      </c>
      <c r="P136" s="534">
        <v>71.629069999999999</v>
      </c>
      <c r="Q136" s="534">
        <v>84.16283</v>
      </c>
      <c r="R136" s="534">
        <v>94.519319999999993</v>
      </c>
      <c r="S136" s="534">
        <v>97.538719999999998</v>
      </c>
      <c r="T136" s="534">
        <v>106.2963</v>
      </c>
      <c r="U136" s="534">
        <v>104.66500000000001</v>
      </c>
      <c r="V136" s="534">
        <v>105.3279</v>
      </c>
      <c r="W136" s="534">
        <v>110.66160000000001</v>
      </c>
      <c r="X136" s="534">
        <v>112.6319</v>
      </c>
      <c r="Y136" s="534">
        <v>120.6962</v>
      </c>
      <c r="Z136" s="534">
        <v>129.36840000000001</v>
      </c>
      <c r="AA136" s="534">
        <v>143.1687</v>
      </c>
      <c r="AB136" s="534">
        <v>160.19909999999999</v>
      </c>
      <c r="AC136" s="534">
        <v>189.1927</v>
      </c>
      <c r="AD136" s="534">
        <v>215.71350000000001</v>
      </c>
      <c r="AE136" s="534">
        <v>239.64920000000001</v>
      </c>
      <c r="AF136" s="534">
        <v>236.57589999999999</v>
      </c>
    </row>
    <row r="137" spans="1:32">
      <c r="A137" s="22">
        <v>840</v>
      </c>
      <c r="B137" s="22" t="s">
        <v>175</v>
      </c>
      <c r="C137" s="534">
        <v>52.877110000000002</v>
      </c>
      <c r="D137" s="534">
        <v>59.948079999999997</v>
      </c>
      <c r="E137" s="534">
        <v>64.690020000000004</v>
      </c>
      <c r="F137" s="534">
        <v>67.412130000000005</v>
      </c>
      <c r="G137" s="534">
        <v>66.077219999999997</v>
      </c>
      <c r="H137" s="534">
        <v>65.125380000000007</v>
      </c>
      <c r="I137" s="534">
        <v>70.616249999999994</v>
      </c>
      <c r="J137" s="534">
        <v>74.801749999999998</v>
      </c>
      <c r="K137" s="534">
        <v>84.363169999999997</v>
      </c>
      <c r="L137" s="534">
        <v>91.245639999999995</v>
      </c>
      <c r="M137" s="534">
        <v>98.805009999999996</v>
      </c>
      <c r="N137" s="534">
        <v>102.23480000000001</v>
      </c>
      <c r="O137" s="534">
        <v>106.7145</v>
      </c>
      <c r="P137" s="534">
        <v>109.89060000000001</v>
      </c>
      <c r="Q137" s="534">
        <v>119.76860000000001</v>
      </c>
      <c r="R137" s="534">
        <v>125.00579999999999</v>
      </c>
      <c r="S137" s="534">
        <v>133.82079999999999</v>
      </c>
      <c r="T137" s="534">
        <v>142.00380000000001</v>
      </c>
      <c r="U137" s="534">
        <v>145.87200000000001</v>
      </c>
      <c r="V137" s="534">
        <v>160.9931</v>
      </c>
      <c r="W137" s="534">
        <v>180.13669999999999</v>
      </c>
      <c r="X137" s="534">
        <v>176.55520000000001</v>
      </c>
      <c r="Y137" s="534">
        <v>187.7535</v>
      </c>
      <c r="Z137" s="534">
        <v>189.87989999999999</v>
      </c>
      <c r="AA137" s="534">
        <v>211.79390000000001</v>
      </c>
      <c r="AB137" s="534">
        <v>222.64750000000001</v>
      </c>
      <c r="AC137" s="534">
        <v>252.70419999999999</v>
      </c>
      <c r="AD137" s="534">
        <v>281.15480000000002</v>
      </c>
      <c r="AE137" s="534">
        <v>296.16579999999999</v>
      </c>
      <c r="AF137" s="534">
        <v>315.05070000000001</v>
      </c>
    </row>
    <row r="138" spans="1:32">
      <c r="A138" s="22">
        <v>910</v>
      </c>
      <c r="B138" s="22" t="s">
        <v>178</v>
      </c>
      <c r="C138" s="534">
        <v>3.0228820000000001</v>
      </c>
      <c r="D138" s="534">
        <v>3.4096470000000001</v>
      </c>
      <c r="E138" s="534">
        <v>3.465814</v>
      </c>
      <c r="F138" s="534">
        <v>3.834972</v>
      </c>
      <c r="G138" s="534">
        <v>4.019323</v>
      </c>
      <c r="H138" s="534">
        <v>4.2929399999999998</v>
      </c>
      <c r="I138" s="534">
        <v>4.4627670000000004</v>
      </c>
      <c r="J138" s="534">
        <v>4.8413000000000004</v>
      </c>
      <c r="K138" s="534">
        <v>5.191821</v>
      </c>
      <c r="L138" s="534">
        <v>4.9943629999999999</v>
      </c>
      <c r="M138" s="534">
        <v>4.8706459999999998</v>
      </c>
      <c r="N138" s="534">
        <v>5.5270359999999998</v>
      </c>
      <c r="O138" s="534">
        <v>4.9920119999999999</v>
      </c>
      <c r="P138" s="534">
        <v>5.9585379999999999</v>
      </c>
      <c r="Q138" s="534">
        <v>6.50082</v>
      </c>
      <c r="R138" s="534">
        <v>6.6115209999999998</v>
      </c>
      <c r="S138" s="534">
        <v>7.941344</v>
      </c>
      <c r="T138" s="534">
        <v>8.5775970000000008</v>
      </c>
      <c r="U138" s="534">
        <v>9.4186949999999996</v>
      </c>
      <c r="V138" s="534">
        <v>10.095660000000001</v>
      </c>
      <c r="W138" s="534">
        <v>9.5462740000000004</v>
      </c>
      <c r="X138" s="534">
        <v>8.8687140000000007</v>
      </c>
      <c r="Y138" s="534">
        <v>9.4284110000000005</v>
      </c>
      <c r="Z138" s="534">
        <v>9.2786390000000001</v>
      </c>
      <c r="AA138" s="534">
        <v>10.195779999999999</v>
      </c>
      <c r="AB138" s="534">
        <v>12.204610000000001</v>
      </c>
      <c r="AC138" s="534">
        <v>13.69552</v>
      </c>
      <c r="AD138" s="534">
        <v>17.730810000000002</v>
      </c>
      <c r="AE138" s="534">
        <v>23.84347</v>
      </c>
      <c r="AF138" s="534">
        <v>20.53951</v>
      </c>
    </row>
    <row r="139" spans="1:32">
      <c r="A139" s="22">
        <v>290</v>
      </c>
      <c r="B139" s="22" t="s">
        <v>48</v>
      </c>
      <c r="C139" s="534">
        <v>144.05590000000001</v>
      </c>
      <c r="D139" s="534">
        <v>147.69579999999999</v>
      </c>
      <c r="E139" s="534">
        <v>145.7921</v>
      </c>
      <c r="F139" s="534">
        <v>159.01410000000001</v>
      </c>
      <c r="G139" s="534">
        <v>173.4804</v>
      </c>
      <c r="H139" s="534">
        <v>183.6677</v>
      </c>
      <c r="I139" s="534">
        <v>196.29910000000001</v>
      </c>
      <c r="J139" s="534">
        <v>208.18600000000001</v>
      </c>
      <c r="K139" s="534">
        <v>224.44540000000001</v>
      </c>
      <c r="L139" s="534">
        <v>238.22749999999999</v>
      </c>
      <c r="M139" s="534">
        <v>217.3133</v>
      </c>
      <c r="N139" s="534">
        <v>211.1962</v>
      </c>
      <c r="O139" s="534">
        <v>224.75559999999999</v>
      </c>
      <c r="P139" s="534">
        <v>241.84399999999999</v>
      </c>
      <c r="Q139" s="534">
        <v>261.30810000000002</v>
      </c>
      <c r="R139" s="534">
        <v>283.346</v>
      </c>
      <c r="S139" s="534">
        <v>305.2319</v>
      </c>
      <c r="T139" s="534">
        <v>329.35849999999999</v>
      </c>
      <c r="U139" s="534">
        <v>349.08949999999999</v>
      </c>
      <c r="V139" s="534">
        <v>369.60149999999999</v>
      </c>
      <c r="W139" s="534">
        <v>388.51760000000002</v>
      </c>
      <c r="X139" s="534">
        <v>403.86219999999997</v>
      </c>
      <c r="Y139" s="534">
        <v>416.54320000000001</v>
      </c>
      <c r="Z139" s="534">
        <v>440.68430000000001</v>
      </c>
      <c r="AA139" s="534">
        <v>483.13940000000002</v>
      </c>
      <c r="AB139" s="534">
        <v>519.81809999999996</v>
      </c>
      <c r="AC139" s="534">
        <v>569.65779999999995</v>
      </c>
      <c r="AD139" s="534">
        <v>630.73490000000004</v>
      </c>
      <c r="AE139" s="534">
        <v>681.83399999999995</v>
      </c>
      <c r="AF139" s="534">
        <v>706.24130000000002</v>
      </c>
    </row>
    <row r="140" spans="1:32">
      <c r="A140" s="22">
        <v>235</v>
      </c>
      <c r="B140" s="22" t="s">
        <v>46</v>
      </c>
      <c r="C140" s="534">
        <v>47.89808</v>
      </c>
      <c r="D140" s="534">
        <v>52.35277</v>
      </c>
      <c r="E140" s="534">
        <v>56.616390000000003</v>
      </c>
      <c r="F140" s="534">
        <v>57.961880000000001</v>
      </c>
      <c r="G140" s="534">
        <v>58.456809999999997</v>
      </c>
      <c r="H140" s="534">
        <v>62.642539999999997</v>
      </c>
      <c r="I140" s="534">
        <v>70.04392</v>
      </c>
      <c r="J140" s="534">
        <v>77.041849999999997</v>
      </c>
      <c r="K140" s="534">
        <v>85.578829999999996</v>
      </c>
      <c r="L140" s="534">
        <v>93.594250000000002</v>
      </c>
      <c r="M140" s="534">
        <v>103.63200000000001</v>
      </c>
      <c r="N140" s="534">
        <v>110.5642</v>
      </c>
      <c r="O140" s="534">
        <v>116.6841</v>
      </c>
      <c r="P140" s="534">
        <v>117.6944</v>
      </c>
      <c r="Q140" s="534">
        <v>124.96040000000001</v>
      </c>
      <c r="R140" s="534">
        <v>130.9579</v>
      </c>
      <c r="S140" s="534">
        <v>136.9297</v>
      </c>
      <c r="T140" s="534">
        <v>145.12620000000001</v>
      </c>
      <c r="U140" s="534">
        <v>155.18539999999999</v>
      </c>
      <c r="V140" s="534">
        <v>164.87989999999999</v>
      </c>
      <c r="W140" s="534">
        <v>173.56020000000001</v>
      </c>
      <c r="X140" s="534">
        <v>181.6559</v>
      </c>
      <c r="Y140" s="534">
        <v>187.35589999999999</v>
      </c>
      <c r="Z140" s="534">
        <v>190.0078</v>
      </c>
      <c r="AA140" s="534">
        <v>198.2072</v>
      </c>
      <c r="AB140" s="534">
        <v>212.35069999999999</v>
      </c>
      <c r="AC140" s="534">
        <v>223.27010000000001</v>
      </c>
      <c r="AD140" s="534">
        <v>235.8381</v>
      </c>
      <c r="AE140" s="534">
        <v>242.20140000000001</v>
      </c>
      <c r="AF140" s="534">
        <v>239.2012</v>
      </c>
    </row>
    <row r="141" spans="1:32">
      <c r="A141" s="22">
        <v>694</v>
      </c>
      <c r="B141" s="22" t="s">
        <v>145</v>
      </c>
      <c r="I141" s="534">
        <v>7.0983609999999997</v>
      </c>
      <c r="J141" s="534">
        <v>7.7617900000000004</v>
      </c>
      <c r="K141" s="534">
        <v>8.3756400000000006</v>
      </c>
      <c r="L141" s="534">
        <v>9.5366710000000001</v>
      </c>
      <c r="M141" s="534">
        <v>10.947369999999999</v>
      </c>
      <c r="N141" s="534">
        <v>10.51749</v>
      </c>
      <c r="O141" s="534">
        <v>11.75445</v>
      </c>
      <c r="P141" s="534">
        <v>10.94026</v>
      </c>
      <c r="Q141" s="534">
        <v>11.58259</v>
      </c>
      <c r="R141" s="534">
        <v>13.017110000000001</v>
      </c>
      <c r="S141" s="534">
        <v>14.508699999999999</v>
      </c>
      <c r="T141" s="534">
        <v>18.365120000000001</v>
      </c>
      <c r="U141" s="534">
        <v>16.574940000000002</v>
      </c>
      <c r="V141" s="534">
        <v>19.571259999999999</v>
      </c>
      <c r="W141" s="534">
        <v>29.44903</v>
      </c>
      <c r="X141" s="534">
        <v>31.17942</v>
      </c>
      <c r="Y141" s="534">
        <v>30.809429999999999</v>
      </c>
      <c r="Z141" s="534">
        <v>43.829799999999999</v>
      </c>
      <c r="AA141" s="534">
        <v>50.504080000000002</v>
      </c>
      <c r="AB141" s="534">
        <v>68.667169999999999</v>
      </c>
      <c r="AC141" s="534">
        <v>69.564250000000001</v>
      </c>
      <c r="AD141" s="534">
        <v>81.956280000000007</v>
      </c>
      <c r="AE141" s="534">
        <v>106.68729999999999</v>
      </c>
      <c r="AF141" s="534">
        <v>118.2381</v>
      </c>
    </row>
    <row r="142" spans="1:32">
      <c r="A142" s="22">
        <v>732</v>
      </c>
      <c r="B142" s="22" t="s">
        <v>158</v>
      </c>
      <c r="C142" s="534">
        <v>98.583770000000001</v>
      </c>
      <c r="D142" s="534">
        <v>114.371</v>
      </c>
      <c r="E142" s="534">
        <v>132.20050000000001</v>
      </c>
      <c r="F142" s="534">
        <v>152.47460000000001</v>
      </c>
      <c r="G142" s="534">
        <v>174.9014</v>
      </c>
      <c r="H142" s="534">
        <v>191.9315</v>
      </c>
      <c r="I142" s="534">
        <v>224.46299999999999</v>
      </c>
      <c r="J142" s="534">
        <v>263.71820000000002</v>
      </c>
      <c r="K142" s="534">
        <v>304.31099999999998</v>
      </c>
      <c r="L142" s="534">
        <v>336.59989999999999</v>
      </c>
      <c r="M142" s="534">
        <v>385.71420000000001</v>
      </c>
      <c r="N142" s="534">
        <v>437.23259999999999</v>
      </c>
      <c r="O142" s="534">
        <v>469.334</v>
      </c>
      <c r="P142" s="534">
        <v>512.78210000000001</v>
      </c>
      <c r="Q142" s="534">
        <v>572.3261</v>
      </c>
      <c r="R142" s="534">
        <v>639.85019999999997</v>
      </c>
      <c r="S142" s="534">
        <v>684.77210000000002</v>
      </c>
      <c r="T142" s="534">
        <v>718.92790000000002</v>
      </c>
      <c r="U142" s="534">
        <v>676.58879999999999</v>
      </c>
      <c r="V142" s="534">
        <v>746.92970000000003</v>
      </c>
      <c r="W142" s="534">
        <v>814.09550000000002</v>
      </c>
      <c r="X142" s="534">
        <v>851.94730000000004</v>
      </c>
      <c r="Y142" s="534">
        <v>929.75379999999996</v>
      </c>
      <c r="Z142" s="534">
        <v>972.43280000000004</v>
      </c>
      <c r="AA142" s="534">
        <v>1036.6120000000001</v>
      </c>
      <c r="AB142" s="534">
        <v>1094.9059999999999</v>
      </c>
      <c r="AC142" s="534">
        <v>1172.3209999999999</v>
      </c>
      <c r="AD142" s="534">
        <v>1268.904</v>
      </c>
      <c r="AE142" s="534">
        <v>1292.7660000000001</v>
      </c>
      <c r="AF142" s="534">
        <v>1293.9760000000001</v>
      </c>
    </row>
    <row r="143" spans="1:32">
      <c r="A143" s="22">
        <v>360</v>
      </c>
      <c r="B143" s="22" t="s">
        <v>66</v>
      </c>
      <c r="C143" s="534">
        <v>80.736320000000006</v>
      </c>
      <c r="D143" s="534">
        <v>86.201009999999997</v>
      </c>
      <c r="E143" s="534">
        <v>92.917680000000004</v>
      </c>
      <c r="F143" s="534">
        <v>98.38579</v>
      </c>
      <c r="G143" s="534">
        <v>106.1725</v>
      </c>
      <c r="H143" s="534">
        <v>109.2632</v>
      </c>
      <c r="I143" s="534">
        <v>115.43899999999999</v>
      </c>
      <c r="J143" s="534">
        <v>118.0354</v>
      </c>
      <c r="K143" s="534">
        <v>120.3901</v>
      </c>
      <c r="L143" s="534">
        <v>111.9211</v>
      </c>
      <c r="M143" s="534">
        <v>109.9034</v>
      </c>
      <c r="N143" s="534">
        <v>100.0308</v>
      </c>
      <c r="O143" s="534">
        <v>91.215959999999995</v>
      </c>
      <c r="P143" s="534">
        <v>96.364670000000004</v>
      </c>
      <c r="Q143" s="534">
        <v>102.26779999999999</v>
      </c>
      <c r="R143" s="534">
        <v>107.559</v>
      </c>
      <c r="S143" s="534">
        <v>112.7385</v>
      </c>
      <c r="T143" s="534">
        <v>108.5617</v>
      </c>
      <c r="U143" s="534">
        <v>108.1885</v>
      </c>
      <c r="V143" s="534">
        <v>108.6921</v>
      </c>
      <c r="W143" s="534">
        <v>116.06310000000001</v>
      </c>
      <c r="X143" s="534">
        <v>125.8472</v>
      </c>
      <c r="Y143" s="534">
        <v>135.51750000000001</v>
      </c>
      <c r="Z143" s="534">
        <v>147.53800000000001</v>
      </c>
      <c r="AA143" s="534">
        <v>167.0521</v>
      </c>
      <c r="AB143" s="534">
        <v>185.24369999999999</v>
      </c>
      <c r="AC143" s="534">
        <v>212.56620000000001</v>
      </c>
      <c r="AD143" s="534">
        <v>245.7396</v>
      </c>
      <c r="AE143" s="534">
        <v>275.60950000000003</v>
      </c>
      <c r="AF143" s="534">
        <v>257.65179999999998</v>
      </c>
    </row>
    <row r="144" spans="1:32">
      <c r="A144" s="22">
        <v>365</v>
      </c>
      <c r="B144" s="22" t="s">
        <v>67</v>
      </c>
      <c r="M144" s="534">
        <v>1397.9929999999999</v>
      </c>
      <c r="N144" s="534">
        <v>1449.597</v>
      </c>
      <c r="O144" s="534">
        <v>1344.1179999999999</v>
      </c>
      <c r="P144" s="534">
        <v>1117.489</v>
      </c>
      <c r="Q144" s="534">
        <v>967.24249999999995</v>
      </c>
      <c r="R144" s="534">
        <v>924.20740000000001</v>
      </c>
      <c r="S144" s="534">
        <v>898.85749999999996</v>
      </c>
      <c r="T144" s="534">
        <v>904.34950000000003</v>
      </c>
      <c r="U144" s="534">
        <v>854.94970000000001</v>
      </c>
      <c r="V144" s="534">
        <v>948.11210000000005</v>
      </c>
      <c r="W144" s="534">
        <v>1143.44</v>
      </c>
      <c r="X144" s="534">
        <v>1163.098</v>
      </c>
      <c r="Y144" s="534">
        <v>1221.0319999999999</v>
      </c>
      <c r="Z144" s="534">
        <v>1347.797</v>
      </c>
      <c r="AA144" s="534">
        <v>1541.73</v>
      </c>
      <c r="AB144" s="534">
        <v>1764.2539999999999</v>
      </c>
      <c r="AC144" s="534">
        <v>1999.4390000000001</v>
      </c>
      <c r="AD144" s="534">
        <v>2244.39</v>
      </c>
      <c r="AE144" s="534">
        <v>2554.6759999999999</v>
      </c>
      <c r="AF144" s="534">
        <v>2199.2020000000002</v>
      </c>
    </row>
    <row r="145" spans="1:32">
      <c r="A145" s="22">
        <v>517</v>
      </c>
      <c r="B145" s="22" t="s">
        <v>109</v>
      </c>
      <c r="C145" s="534">
        <v>2.9761609999999998</v>
      </c>
      <c r="D145" s="534">
        <v>3.7628620000000002</v>
      </c>
      <c r="E145" s="534">
        <v>3.6956419999999999</v>
      </c>
      <c r="F145" s="534">
        <v>4.0183210000000003</v>
      </c>
      <c r="G145" s="534">
        <v>4.0538530000000002</v>
      </c>
      <c r="H145" s="534">
        <v>4.4031950000000002</v>
      </c>
      <c r="I145" s="534">
        <v>4.7080770000000003</v>
      </c>
      <c r="J145" s="534">
        <v>4.6970020000000003</v>
      </c>
      <c r="K145" s="534">
        <v>4.9510540000000001</v>
      </c>
      <c r="L145" s="534">
        <v>5.4855150000000004</v>
      </c>
      <c r="M145" s="534">
        <v>5.5637319999999999</v>
      </c>
      <c r="N145" s="534">
        <v>5.2197290000000001</v>
      </c>
      <c r="O145" s="534">
        <v>5.6642219999999996</v>
      </c>
      <c r="P145" s="534">
        <v>5.2453659999999998</v>
      </c>
      <c r="Q145" s="534">
        <v>2.4752360000000002</v>
      </c>
      <c r="R145" s="534">
        <v>3.045042</v>
      </c>
      <c r="S145" s="534">
        <v>3.613937</v>
      </c>
      <c r="T145" s="534">
        <v>4.2762989999999999</v>
      </c>
      <c r="U145" s="534">
        <v>4.6180310000000002</v>
      </c>
      <c r="V145" s="534">
        <v>4.8404800000000003</v>
      </c>
      <c r="W145" s="534">
        <v>4.8932929999999999</v>
      </c>
      <c r="X145" s="534">
        <v>5.3475789999999996</v>
      </c>
      <c r="Y145" s="534">
        <v>6.0879329999999996</v>
      </c>
      <c r="Z145" s="534">
        <v>6.0275100000000004</v>
      </c>
      <c r="AA145" s="534">
        <v>6.6622009999999996</v>
      </c>
      <c r="AB145" s="534">
        <v>8.0638120000000004</v>
      </c>
      <c r="AC145" s="534">
        <v>9.4254189999999998</v>
      </c>
      <c r="AD145" s="534">
        <v>10.63912</v>
      </c>
      <c r="AE145" s="534">
        <v>12.01896</v>
      </c>
      <c r="AF145" s="534">
        <v>13.031940000000001</v>
      </c>
    </row>
    <row r="146" spans="1:32">
      <c r="A146" s="22">
        <v>560</v>
      </c>
      <c r="B146" s="22" t="s">
        <v>119</v>
      </c>
      <c r="C146" s="534">
        <v>93.626230000000007</v>
      </c>
      <c r="D146" s="534">
        <v>99.902019999999993</v>
      </c>
      <c r="E146" s="534">
        <v>100.6977</v>
      </c>
      <c r="F146" s="534">
        <v>111.7508</v>
      </c>
      <c r="G146" s="534">
        <v>118.2299</v>
      </c>
      <c r="H146" s="534">
        <v>122.0149</v>
      </c>
      <c r="I146" s="534">
        <v>121.7343</v>
      </c>
      <c r="J146" s="534">
        <v>129.7534</v>
      </c>
      <c r="K146" s="534">
        <v>138.5591</v>
      </c>
      <c r="L146" s="534">
        <v>147.80430000000001</v>
      </c>
      <c r="M146" s="534">
        <v>152.24199999999999</v>
      </c>
      <c r="N146" s="534">
        <v>156.53139999999999</v>
      </c>
      <c r="O146" s="534">
        <v>156.30350000000001</v>
      </c>
      <c r="P146" s="534">
        <v>162.72710000000001</v>
      </c>
      <c r="Q146" s="534">
        <v>174.01410000000001</v>
      </c>
      <c r="R146" s="534">
        <v>184.49680000000001</v>
      </c>
      <c r="S146" s="534">
        <v>195.63630000000001</v>
      </c>
      <c r="T146" s="534">
        <v>202.61359999999999</v>
      </c>
      <c r="U146" s="534">
        <v>206.48990000000001</v>
      </c>
      <c r="V146" s="534">
        <v>214.16249999999999</v>
      </c>
      <c r="W146" s="534">
        <v>228.99180000000001</v>
      </c>
      <c r="X146" s="534">
        <v>242.93770000000001</v>
      </c>
      <c r="Y146" s="534">
        <v>257.04050000000001</v>
      </c>
      <c r="Z146" s="534">
        <v>272.46839999999997</v>
      </c>
      <c r="AA146" s="534">
        <v>294.63650000000001</v>
      </c>
      <c r="AB146" s="534">
        <v>330.52370000000002</v>
      </c>
      <c r="AC146" s="534">
        <v>364.42649999999998</v>
      </c>
      <c r="AD146" s="534">
        <v>400.3646</v>
      </c>
      <c r="AE146" s="534">
        <v>426.58499999999998</v>
      </c>
      <c r="AF146" s="534">
        <v>424.16030000000001</v>
      </c>
    </row>
    <row r="147" spans="1:32">
      <c r="A147" s="22">
        <v>92</v>
      </c>
      <c r="B147" s="22" t="s">
        <v>19</v>
      </c>
      <c r="C147" s="534">
        <v>11.085089999999999</v>
      </c>
      <c r="D147" s="534">
        <v>10.511649999999999</v>
      </c>
      <c r="E147" s="534">
        <v>10.361129999999999</v>
      </c>
      <c r="F147" s="534">
        <v>10.724880000000001</v>
      </c>
      <c r="G147" s="534">
        <v>11.395569999999999</v>
      </c>
      <c r="H147" s="534">
        <v>12.01005</v>
      </c>
      <c r="I147" s="534">
        <v>12.930070000000001</v>
      </c>
      <c r="J147" s="534">
        <v>13.051729999999999</v>
      </c>
      <c r="K147" s="534">
        <v>14.01113</v>
      </c>
      <c r="L147" s="534">
        <v>14.650589999999999</v>
      </c>
      <c r="M147" s="534">
        <v>14.590059999999999</v>
      </c>
      <c r="N147" s="534">
        <v>15.712070000000001</v>
      </c>
      <c r="O147" s="534">
        <v>17.120950000000001</v>
      </c>
      <c r="P147" s="534">
        <v>19.02112</v>
      </c>
      <c r="Q147" s="534">
        <v>20.90147</v>
      </c>
      <c r="R147" s="534">
        <v>23.244140000000002</v>
      </c>
      <c r="S147" s="534">
        <v>23.875509999999998</v>
      </c>
      <c r="T147" s="534">
        <v>25.174569999999999</v>
      </c>
      <c r="U147" s="534">
        <v>26.40521</v>
      </c>
      <c r="V147" s="534">
        <v>27.34168</v>
      </c>
      <c r="W147" s="534">
        <v>28.219760000000001</v>
      </c>
      <c r="X147" s="534">
        <v>29.725290000000001</v>
      </c>
      <c r="Y147" s="534">
        <v>30.752510000000001</v>
      </c>
      <c r="Z147" s="534">
        <v>31.94623</v>
      </c>
      <c r="AA147" s="534">
        <v>33.076439999999998</v>
      </c>
      <c r="AB147" s="534">
        <v>35.675179999999997</v>
      </c>
      <c r="AC147" s="534">
        <v>38.383159999999997</v>
      </c>
      <c r="AD147" s="534">
        <v>41.093150000000001</v>
      </c>
      <c r="AE147" s="534">
        <v>43.462809999999998</v>
      </c>
      <c r="AF147" s="534">
        <v>42.212829999999997</v>
      </c>
    </row>
    <row r="148" spans="1:32">
      <c r="A148" s="22">
        <v>670</v>
      </c>
      <c r="B148" s="22" t="s">
        <v>141</v>
      </c>
      <c r="I148" s="534">
        <v>111.245</v>
      </c>
      <c r="J148" s="534">
        <v>109.0869</v>
      </c>
      <c r="K148" s="534">
        <v>124.58</v>
      </c>
      <c r="L148" s="534">
        <v>128.9967</v>
      </c>
      <c r="M148" s="534">
        <v>140.90950000000001</v>
      </c>
      <c r="N148" s="534">
        <v>164.965</v>
      </c>
      <c r="O148" s="534">
        <v>181.39879999999999</v>
      </c>
      <c r="P148" s="534">
        <v>188.45859999999999</v>
      </c>
      <c r="Q148" s="534">
        <v>186.2423</v>
      </c>
      <c r="R148" s="534">
        <v>191.21270000000001</v>
      </c>
      <c r="S148" s="534">
        <v>197.8192</v>
      </c>
      <c r="T148" s="534">
        <v>205.89429999999999</v>
      </c>
      <c r="U148" s="534">
        <v>190.8374</v>
      </c>
      <c r="V148" s="534">
        <v>217.9365</v>
      </c>
      <c r="W148" s="534">
        <v>262.38549999999998</v>
      </c>
      <c r="X148" s="534">
        <v>256.2011</v>
      </c>
      <c r="Y148" s="534">
        <v>277.6207</v>
      </c>
      <c r="Z148" s="534">
        <v>317.221</v>
      </c>
      <c r="AA148" s="534">
        <v>369.40989999999999</v>
      </c>
      <c r="AB148" s="534">
        <v>464.78399999999999</v>
      </c>
      <c r="AC148" s="534">
        <v>527.24620000000004</v>
      </c>
      <c r="AD148" s="534">
        <v>580.52440000000001</v>
      </c>
      <c r="AE148" s="534">
        <v>742.88160000000005</v>
      </c>
      <c r="AF148" s="534">
        <v>620.4896</v>
      </c>
    </row>
    <row r="149" spans="1:32">
      <c r="A149" s="22">
        <v>433</v>
      </c>
      <c r="B149" s="22" t="s">
        <v>87</v>
      </c>
      <c r="C149" s="534">
        <v>3.3926889999999998</v>
      </c>
      <c r="D149" s="534">
        <v>3.674909</v>
      </c>
      <c r="E149" s="534">
        <v>4.3266039999999997</v>
      </c>
      <c r="F149" s="534">
        <v>4.5393540000000003</v>
      </c>
      <c r="G149" s="534">
        <v>4.6950029999999998</v>
      </c>
      <c r="H149" s="534">
        <v>5.029274</v>
      </c>
      <c r="I149" s="534">
        <v>5.5024639999999998</v>
      </c>
      <c r="J149" s="534">
        <v>5.8957750000000004</v>
      </c>
      <c r="K149" s="534">
        <v>6.3725490000000002</v>
      </c>
      <c r="L149" s="534">
        <v>6.5355220000000003</v>
      </c>
      <c r="M149" s="534">
        <v>7.0901269999999998</v>
      </c>
      <c r="N149" s="534">
        <v>7.2613269999999996</v>
      </c>
      <c r="O149" s="534">
        <v>7.6536179999999998</v>
      </c>
      <c r="P149" s="534">
        <v>7.584479</v>
      </c>
      <c r="Q149" s="534">
        <v>7.6915310000000003</v>
      </c>
      <c r="R149" s="534">
        <v>8.1092720000000007</v>
      </c>
      <c r="S149" s="534">
        <v>8.7546669999999995</v>
      </c>
      <c r="T149" s="534">
        <v>9.3500479999999992</v>
      </c>
      <c r="U149" s="534">
        <v>9.9425509999999999</v>
      </c>
      <c r="V149" s="534">
        <v>10.91394</v>
      </c>
      <c r="W149" s="534">
        <v>11.5008</v>
      </c>
      <c r="X149" s="534">
        <v>12.327529999999999</v>
      </c>
      <c r="Y149" s="534">
        <v>12.37097</v>
      </c>
      <c r="Z149" s="534">
        <v>13.59925</v>
      </c>
      <c r="AA149" s="534">
        <v>14.451420000000001</v>
      </c>
      <c r="AB149" s="534">
        <v>15.82485</v>
      </c>
      <c r="AC149" s="534">
        <v>16.546900000000001</v>
      </c>
      <c r="AD149" s="534">
        <v>17.83118</v>
      </c>
      <c r="AE149" s="534">
        <v>18.8474</v>
      </c>
      <c r="AF149" s="534">
        <v>19.73762</v>
      </c>
    </row>
    <row r="150" spans="1:32">
      <c r="A150" s="22">
        <v>591</v>
      </c>
      <c r="B150" s="22" t="s">
        <v>127</v>
      </c>
      <c r="C150" s="534">
        <v>0.25304130000000002</v>
      </c>
      <c r="D150" s="534">
        <v>0.27833580000000002</v>
      </c>
      <c r="E150" s="534">
        <v>0.29340319999999998</v>
      </c>
      <c r="F150" s="534">
        <v>0.3006548</v>
      </c>
      <c r="G150" s="534">
        <v>0.32545360000000001</v>
      </c>
      <c r="H150" s="534">
        <v>0.35832029999999998</v>
      </c>
      <c r="I150" s="534">
        <v>0.40867150000000002</v>
      </c>
      <c r="J150" s="534">
        <v>0.40812359999999998</v>
      </c>
      <c r="K150" s="534">
        <v>0.44913979999999998</v>
      </c>
      <c r="L150" s="534">
        <v>0.53812870000000002</v>
      </c>
      <c r="M150" s="534">
        <v>0.61849569999999998</v>
      </c>
      <c r="N150" s="534">
        <v>0.66527720000000001</v>
      </c>
      <c r="O150" s="534">
        <v>0.76012959999999996</v>
      </c>
      <c r="P150" s="534">
        <v>0.85519299999999998</v>
      </c>
      <c r="Q150" s="534">
        <v>0.8633478</v>
      </c>
      <c r="R150" s="534">
        <v>0.87409700000000001</v>
      </c>
      <c r="S150" s="534">
        <v>0.93918639999999998</v>
      </c>
      <c r="T150" s="534">
        <v>0.97112739999999997</v>
      </c>
      <c r="U150" s="534">
        <v>1.1686049999999999</v>
      </c>
      <c r="V150" s="534">
        <v>1.1317170000000001</v>
      </c>
      <c r="W150" s="534">
        <v>1.153645</v>
      </c>
      <c r="X150" s="534">
        <v>1.352865</v>
      </c>
      <c r="Y150" s="534">
        <v>1.2343040000000001</v>
      </c>
      <c r="Z150" s="534">
        <v>1.11782</v>
      </c>
      <c r="AA150" s="534">
        <v>0.95339320000000005</v>
      </c>
      <c r="AB150" s="534">
        <v>1.8948309999999999</v>
      </c>
      <c r="AC150" s="534">
        <v>2.104476</v>
      </c>
      <c r="AD150" s="534">
        <v>2.4202300000000001</v>
      </c>
      <c r="AE150" s="534">
        <v>2.4599470000000001</v>
      </c>
      <c r="AF150">
        <v>2.2896117999999999</v>
      </c>
    </row>
    <row r="151" spans="1:32">
      <c r="A151" s="22">
        <v>451</v>
      </c>
      <c r="B151" s="22" t="s">
        <v>95</v>
      </c>
      <c r="C151" s="534">
        <v>1.650042</v>
      </c>
      <c r="D151" s="534">
        <v>1.9039250000000001</v>
      </c>
      <c r="E151" s="534">
        <v>1.9803010000000001</v>
      </c>
      <c r="F151" s="534">
        <v>2.061868</v>
      </c>
      <c r="G151" s="534">
        <v>2.3075619999999999</v>
      </c>
      <c r="H151" s="534">
        <v>2.307795</v>
      </c>
      <c r="I151" s="534">
        <v>2.484378</v>
      </c>
      <c r="J151" s="534">
        <v>2.632349</v>
      </c>
      <c r="K151" s="534">
        <v>2.7903280000000001</v>
      </c>
      <c r="L151" s="534">
        <v>3.0113129999999999</v>
      </c>
      <c r="M151" s="534">
        <v>3.2084239999999999</v>
      </c>
      <c r="N151" s="534">
        <v>3.0563829999999998</v>
      </c>
      <c r="O151" s="534">
        <v>2.8869449999999999</v>
      </c>
      <c r="P151" s="534">
        <v>2.832735</v>
      </c>
      <c r="Q151" s="534">
        <v>3.0226169999999999</v>
      </c>
      <c r="R151" s="534">
        <v>2.7640039999999999</v>
      </c>
      <c r="S151" s="534">
        <v>2.150074</v>
      </c>
      <c r="T151" s="534">
        <v>1.7620100000000001</v>
      </c>
      <c r="U151" s="534">
        <v>1.7712760000000001</v>
      </c>
      <c r="V151" s="534">
        <v>1.636366</v>
      </c>
      <c r="W151" s="534">
        <v>1.7568299999999999</v>
      </c>
      <c r="X151" s="534">
        <v>2.1029909999999998</v>
      </c>
      <c r="Y151" s="534">
        <v>2.5271439999999998</v>
      </c>
      <c r="Z151" s="534">
        <v>2.8761049999999999</v>
      </c>
      <c r="AA151" s="534">
        <v>3.2187269999999999</v>
      </c>
      <c r="AB151" s="534">
        <v>3.5038580000000001</v>
      </c>
      <c r="AC151" s="534">
        <v>3.9583029999999999</v>
      </c>
      <c r="AD151" s="534">
        <v>4.3472790000000003</v>
      </c>
      <c r="AE151" s="534">
        <v>4.7206840000000003</v>
      </c>
      <c r="AF151" s="534">
        <v>4.9336409999999997</v>
      </c>
    </row>
    <row r="152" spans="1:32">
      <c r="A152" s="22">
        <v>830</v>
      </c>
      <c r="B152" s="22" t="s">
        <v>173</v>
      </c>
      <c r="C152" s="534">
        <v>16.934349999999998</v>
      </c>
      <c r="D152" s="534">
        <v>20.123699999999999</v>
      </c>
      <c r="E152" s="534">
        <v>23.631070000000001</v>
      </c>
      <c r="F152" s="534">
        <v>27.11382</v>
      </c>
      <c r="G152" s="534">
        <v>30.04702</v>
      </c>
      <c r="H152" s="534">
        <v>29.69173</v>
      </c>
      <c r="I152" s="534">
        <v>30.321899999999999</v>
      </c>
      <c r="J152" s="534">
        <v>33.746780000000001</v>
      </c>
      <c r="K152" s="534">
        <v>38.614559999999997</v>
      </c>
      <c r="L152" s="534">
        <v>44.714039999999997</v>
      </c>
      <c r="M152" s="534">
        <v>51.711309999999997</v>
      </c>
      <c r="N152" s="534">
        <v>57.972050000000003</v>
      </c>
      <c r="O152" s="534">
        <v>62.645389999999999</v>
      </c>
      <c r="P152" s="534">
        <v>72.160439999999994</v>
      </c>
      <c r="Q152" s="534">
        <v>81.587909999999994</v>
      </c>
      <c r="R152" s="534">
        <v>92.616969999999995</v>
      </c>
      <c r="S152" s="534">
        <v>102.876</v>
      </c>
      <c r="T152" s="534">
        <v>114.0381</v>
      </c>
      <c r="U152" s="534">
        <v>109.0575</v>
      </c>
      <c r="V152" s="534">
        <v>115.3409</v>
      </c>
      <c r="W152" s="534">
        <v>137.6131</v>
      </c>
      <c r="X152" s="534">
        <v>130.36179999999999</v>
      </c>
      <c r="Y152" s="534">
        <v>136.5547</v>
      </c>
      <c r="Z152" s="534">
        <v>140.1387</v>
      </c>
      <c r="AA152" s="534">
        <v>165.47210000000001</v>
      </c>
      <c r="AB152" s="534">
        <v>185.28229999999999</v>
      </c>
      <c r="AC152" s="534">
        <v>210.63040000000001</v>
      </c>
      <c r="AD152" s="534">
        <v>239.26589999999999</v>
      </c>
      <c r="AE152" s="534">
        <v>253.3493</v>
      </c>
      <c r="AF152" s="534">
        <v>238.6327</v>
      </c>
    </row>
    <row r="153" spans="1:32">
      <c r="A153" s="22">
        <v>60</v>
      </c>
      <c r="B153" s="22" t="s">
        <v>14</v>
      </c>
      <c r="C153" s="534">
        <v>9.1927400000000006E-2</v>
      </c>
      <c r="D153" s="534">
        <v>0.1018033</v>
      </c>
      <c r="E153" s="534">
        <v>0.1052661</v>
      </c>
      <c r="F153" s="534">
        <v>0.1072042</v>
      </c>
      <c r="G153" s="534">
        <v>0.1212153</v>
      </c>
      <c r="H153" s="534">
        <v>0.13613400000000001</v>
      </c>
      <c r="I153" s="534">
        <v>0.1546313</v>
      </c>
      <c r="J153" s="534">
        <v>0.17505860000000001</v>
      </c>
      <c r="K153" s="534">
        <v>0.18754009999999999</v>
      </c>
      <c r="L153" s="534">
        <v>0.20966940000000001</v>
      </c>
      <c r="M153" s="534">
        <v>0.2270818</v>
      </c>
      <c r="N153" s="534">
        <v>0.23862559999999999</v>
      </c>
      <c r="O153" s="534">
        <v>0.25003890000000001</v>
      </c>
      <c r="P153" s="534">
        <v>0.2701945</v>
      </c>
      <c r="Q153" s="534">
        <v>0.29198639999999998</v>
      </c>
      <c r="R153" s="534">
        <v>0.30803039999999998</v>
      </c>
      <c r="S153" s="534">
        <v>0.34091680000000002</v>
      </c>
      <c r="T153" s="534">
        <v>0.3519833</v>
      </c>
      <c r="U153" s="534">
        <v>0.36383900000000002</v>
      </c>
      <c r="V153" s="534">
        <v>0.3935611</v>
      </c>
      <c r="W153" s="534">
        <v>0.41808610000000002</v>
      </c>
      <c r="X153" s="534">
        <v>0.4166165</v>
      </c>
      <c r="Y153" s="534">
        <v>0.43524960000000001</v>
      </c>
      <c r="Z153" s="534">
        <v>0.41030870000000003</v>
      </c>
      <c r="AA153" s="534">
        <v>0.45826210000000001</v>
      </c>
      <c r="AB153" s="534">
        <v>0.49723400000000001</v>
      </c>
      <c r="AC153" s="534">
        <v>0.53895409999999999</v>
      </c>
      <c r="AD153" s="534">
        <v>0.56981870000000001</v>
      </c>
      <c r="AE153" s="534">
        <v>0.61262260000000002</v>
      </c>
      <c r="AF153" s="534">
        <v>0.56490289999999999</v>
      </c>
    </row>
    <row r="154" spans="1:32">
      <c r="A154" s="22">
        <v>317</v>
      </c>
      <c r="B154" s="22" t="s">
        <v>52</v>
      </c>
      <c r="J154" s="534">
        <v>41.08164</v>
      </c>
      <c r="K154" s="534">
        <v>44.249980000000001</v>
      </c>
      <c r="L154" s="534">
        <v>47.322870000000002</v>
      </c>
      <c r="M154" s="534">
        <v>48.160290000000003</v>
      </c>
      <c r="N154" s="534">
        <v>39.125500000000002</v>
      </c>
      <c r="O154" s="534">
        <v>37.083530000000003</v>
      </c>
      <c r="P154" s="534">
        <v>40.186900000000001</v>
      </c>
      <c r="Q154" s="534">
        <v>43.593859999999999</v>
      </c>
      <c r="R154" s="534">
        <v>47.274590000000003</v>
      </c>
      <c r="S154" s="534">
        <v>52.456829999999997</v>
      </c>
      <c r="T154" s="534">
        <v>57.403790000000001</v>
      </c>
      <c r="U154" s="534">
        <v>59.996569999999998</v>
      </c>
      <c r="V154" s="534">
        <v>59.71922</v>
      </c>
      <c r="W154" s="534">
        <v>62.64425</v>
      </c>
      <c r="X154" s="534">
        <v>65.460070000000002</v>
      </c>
      <c r="Y154" s="534">
        <v>70.031279999999995</v>
      </c>
      <c r="Z154" s="534">
        <v>74.668270000000007</v>
      </c>
      <c r="AA154" s="534">
        <v>79.957049999999995</v>
      </c>
      <c r="AB154" s="534">
        <v>87.989490000000004</v>
      </c>
      <c r="AC154" s="534">
        <v>97.670450000000002</v>
      </c>
      <c r="AD154" s="534">
        <v>111.0539</v>
      </c>
      <c r="AE154" s="534">
        <v>119.4586</v>
      </c>
      <c r="AF154" s="534">
        <v>115.4104</v>
      </c>
    </row>
    <row r="155" spans="1:32">
      <c r="A155" s="22">
        <v>56</v>
      </c>
      <c r="B155" s="22" t="s">
        <v>11</v>
      </c>
      <c r="C155" s="534">
        <v>0.51111240000000002</v>
      </c>
      <c r="D155" s="534">
        <v>0.53562069999999995</v>
      </c>
      <c r="E155" s="534">
        <v>0.57908519999999997</v>
      </c>
      <c r="F155" s="534">
        <v>0.63183279999999997</v>
      </c>
      <c r="G155" s="534">
        <v>0.46468930000000003</v>
      </c>
      <c r="H155" s="534">
        <v>0.52713270000000001</v>
      </c>
      <c r="I155" s="534">
        <v>0.60938970000000003</v>
      </c>
      <c r="J155" s="534">
        <v>0.66342270000000003</v>
      </c>
      <c r="K155" s="534">
        <v>0.75970380000000004</v>
      </c>
      <c r="L155" s="534">
        <v>0.81987770000000004</v>
      </c>
      <c r="M155" s="534">
        <v>0.89823719999999996</v>
      </c>
      <c r="N155" s="534">
        <v>0.93667480000000003</v>
      </c>
      <c r="O155" s="534">
        <v>1.019285</v>
      </c>
      <c r="P155" s="534">
        <v>1.0383199999999999</v>
      </c>
      <c r="Q155" s="534">
        <v>1.081045</v>
      </c>
      <c r="R155" s="534">
        <v>1.1259650000000001</v>
      </c>
      <c r="S155" s="534">
        <v>1.236327</v>
      </c>
      <c r="T155" s="534">
        <v>1.264014</v>
      </c>
      <c r="U155" s="534">
        <v>1.3632649999999999</v>
      </c>
      <c r="V155" s="534">
        <v>1.4117040000000001</v>
      </c>
      <c r="W155" s="534">
        <v>1.373413</v>
      </c>
      <c r="X155" s="534">
        <v>1.2865340000000001</v>
      </c>
      <c r="Y155" s="534">
        <v>1.3620380000000001</v>
      </c>
      <c r="Z155" s="534">
        <v>1.5970610000000001</v>
      </c>
      <c r="AA155" s="534">
        <v>1.68998</v>
      </c>
      <c r="AB155" s="534">
        <v>1.8511120000000001</v>
      </c>
      <c r="AC155" s="534">
        <v>1.790332</v>
      </c>
      <c r="AD155" s="534">
        <v>2.0928339999999999</v>
      </c>
      <c r="AE155" s="534">
        <v>2.2374390000000002</v>
      </c>
      <c r="AF155" s="534">
        <v>2.241727</v>
      </c>
    </row>
    <row r="156" spans="1:32">
      <c r="A156" s="22">
        <v>349</v>
      </c>
      <c r="B156" s="22" t="s">
        <v>61</v>
      </c>
      <c r="M156" s="534">
        <v>22.449149999999999</v>
      </c>
      <c r="N156" s="534">
        <v>20.2563</v>
      </c>
      <c r="O156" s="534">
        <v>19.557849999999998</v>
      </c>
      <c r="P156" s="534">
        <v>21.281490000000002</v>
      </c>
      <c r="Q156" s="534">
        <v>23.232389999999999</v>
      </c>
      <c r="R156" s="534">
        <v>25.279050000000002</v>
      </c>
      <c r="S156" s="534">
        <v>26.768889999999999</v>
      </c>
      <c r="T156" s="534">
        <v>28.532530000000001</v>
      </c>
      <c r="U156" s="534">
        <v>29.850899999999999</v>
      </c>
      <c r="V156" s="534">
        <v>32.088500000000003</v>
      </c>
      <c r="W156" s="534">
        <v>33.669750000000001</v>
      </c>
      <c r="X156" s="534">
        <v>35.740859999999998</v>
      </c>
      <c r="Y156" s="534">
        <v>38.13259</v>
      </c>
      <c r="Z156" s="534">
        <v>40.347740000000002</v>
      </c>
      <c r="AA156" s="534">
        <v>43.255969999999998</v>
      </c>
      <c r="AB156" s="534">
        <v>46.803690000000003</v>
      </c>
      <c r="AC156" s="534">
        <v>51.276310000000002</v>
      </c>
      <c r="AD156" s="534">
        <v>57.302199999999999</v>
      </c>
      <c r="AE156" s="534">
        <v>60.890540000000001</v>
      </c>
      <c r="AF156" s="534">
        <v>56.431620000000002</v>
      </c>
    </row>
    <row r="157" spans="1:32">
      <c r="A157" s="22">
        <v>940</v>
      </c>
      <c r="B157" s="22" t="s">
        <v>181</v>
      </c>
      <c r="C157" s="534">
        <v>0.19613729999999999</v>
      </c>
      <c r="D157" s="534">
        <v>0.233406</v>
      </c>
      <c r="E157" s="534">
        <v>0.2430764</v>
      </c>
      <c r="F157" s="534">
        <v>0.23466629999999999</v>
      </c>
      <c r="G157" s="534">
        <v>0.25586350000000002</v>
      </c>
      <c r="H157" s="534">
        <v>0.30631629999999999</v>
      </c>
      <c r="I157" s="534">
        <v>0.2864546</v>
      </c>
      <c r="J157" s="534">
        <v>0.3078592</v>
      </c>
      <c r="K157" s="534">
        <v>0.33047149999999997</v>
      </c>
      <c r="L157" s="534">
        <v>0.36623090000000003</v>
      </c>
      <c r="M157" s="534">
        <v>0.38537749999999998</v>
      </c>
      <c r="N157" s="534">
        <v>0.42278850000000001</v>
      </c>
      <c r="O157" s="534">
        <v>0.48384820000000001</v>
      </c>
      <c r="P157" s="534">
        <v>0.52042770000000005</v>
      </c>
      <c r="Q157" s="534">
        <v>0.52888639999999998</v>
      </c>
      <c r="R157" s="534">
        <v>0.57505419999999996</v>
      </c>
      <c r="S157" s="534">
        <v>0.59813700000000003</v>
      </c>
      <c r="T157" s="534">
        <v>0.60507429999999995</v>
      </c>
      <c r="U157" s="534">
        <v>0.61477789999999999</v>
      </c>
      <c r="V157" s="534">
        <v>0.62548959999999998</v>
      </c>
      <c r="W157" s="534">
        <v>0.54665580000000003</v>
      </c>
      <c r="X157" s="534">
        <v>0.51239999999999997</v>
      </c>
      <c r="Y157" s="534">
        <v>0.51472980000000002</v>
      </c>
      <c r="Z157" s="534">
        <v>0.55414410000000003</v>
      </c>
      <c r="AA157" s="534">
        <v>0.6186026</v>
      </c>
      <c r="AB157" s="534">
        <v>0.76799510000000004</v>
      </c>
      <c r="AC157" s="534">
        <v>0.87310370000000004</v>
      </c>
      <c r="AD157" s="534">
        <v>0.96066200000000002</v>
      </c>
      <c r="AE157" s="534">
        <v>1.087434</v>
      </c>
      <c r="AF157" s="534">
        <v>1.0814319999999999</v>
      </c>
    </row>
    <row r="158" spans="1:32">
      <c r="A158" s="22">
        <v>520</v>
      </c>
      <c r="B158" s="22" t="s">
        <v>110</v>
      </c>
      <c r="C158" s="534">
        <v>2.0211250000000001</v>
      </c>
      <c r="D158" s="534">
        <v>2.2599450000000001</v>
      </c>
      <c r="E158" s="534">
        <v>2.550961</v>
      </c>
      <c r="F158" s="534">
        <v>2.4284759999999999</v>
      </c>
      <c r="G158" s="534">
        <v>2.430253</v>
      </c>
      <c r="H158" s="534">
        <v>2.3936980000000001</v>
      </c>
      <c r="I158" s="534">
        <v>2.5244080000000002</v>
      </c>
      <c r="J158" s="534">
        <v>2.6267459999999998</v>
      </c>
      <c r="K158" s="534">
        <v>2.8815680000000001</v>
      </c>
      <c r="L158" s="534">
        <v>3.1181160000000001</v>
      </c>
      <c r="M158" s="534">
        <v>3.286238</v>
      </c>
      <c r="N158" s="534">
        <v>3.3013330000000001</v>
      </c>
      <c r="O158" s="534">
        <v>2.9836870000000002</v>
      </c>
      <c r="P158" s="534">
        <v>3.0869200000000001</v>
      </c>
      <c r="Q158" s="534">
        <v>2.5159590000000001</v>
      </c>
      <c r="R158" s="534">
        <v>2.565817</v>
      </c>
      <c r="S158" s="534">
        <v>2.7020390000000001</v>
      </c>
      <c r="T158" s="534">
        <v>2.6674950000000002</v>
      </c>
      <c r="U158" s="534">
        <v>2.745749</v>
      </c>
      <c r="V158" s="534">
        <v>2.8873470000000001</v>
      </c>
      <c r="W158" s="534">
        <v>3.0565250000000002</v>
      </c>
      <c r="X158" s="534">
        <v>3.23509</v>
      </c>
      <c r="Y158" s="534">
        <v>3.4071280000000002</v>
      </c>
      <c r="Z158" s="534">
        <v>3.5573860000000002</v>
      </c>
      <c r="AA158" s="534">
        <v>3.7660459999999998</v>
      </c>
      <c r="AB158" s="534">
        <v>3.9932650000000001</v>
      </c>
      <c r="AC158" s="534">
        <v>4.2487519999999996</v>
      </c>
      <c r="AD158" s="534">
        <v>4.4853360000000002</v>
      </c>
      <c r="AE158" s="534">
        <v>4.7582120000000003</v>
      </c>
      <c r="AF158" s="534">
        <v>4.9185629999999998</v>
      </c>
    </row>
    <row r="159" spans="1:32">
      <c r="A159" s="22">
        <v>230</v>
      </c>
      <c r="B159" s="22" t="s">
        <v>44</v>
      </c>
      <c r="C159" s="534">
        <v>272.2115</v>
      </c>
      <c r="D159" s="534">
        <v>292.10739999999998</v>
      </c>
      <c r="E159" s="534">
        <v>311.51519999999999</v>
      </c>
      <c r="F159" s="534">
        <v>326.66860000000003</v>
      </c>
      <c r="G159" s="534">
        <v>347.84980000000002</v>
      </c>
      <c r="H159" s="534">
        <v>368.23390000000001</v>
      </c>
      <c r="I159" s="534">
        <v>397.21699999999998</v>
      </c>
      <c r="J159" s="534">
        <v>434.12619999999998</v>
      </c>
      <c r="K159" s="534">
        <v>474.48759999999999</v>
      </c>
      <c r="L159" s="534">
        <v>518.34690000000001</v>
      </c>
      <c r="M159" s="534">
        <v>564.43740000000003</v>
      </c>
      <c r="N159" s="534">
        <v>601.57339999999999</v>
      </c>
      <c r="O159" s="534">
        <v>622.35419999999999</v>
      </c>
      <c r="P159" s="534">
        <v>625.70230000000004</v>
      </c>
      <c r="Q159" s="534">
        <v>651.26440000000002</v>
      </c>
      <c r="R159" s="534">
        <v>685.8723</v>
      </c>
      <c r="S159" s="534">
        <v>715.11170000000004</v>
      </c>
      <c r="T159" s="534">
        <v>751.45460000000003</v>
      </c>
      <c r="U159" s="534">
        <v>793.76160000000004</v>
      </c>
      <c r="V159" s="534">
        <v>844.55470000000003</v>
      </c>
      <c r="W159" s="534">
        <v>900.67070000000001</v>
      </c>
      <c r="X159" s="534">
        <v>960.78200000000004</v>
      </c>
      <c r="Y159" s="534">
        <v>1013.499</v>
      </c>
      <c r="Z159" s="534">
        <v>1072.6079999999999</v>
      </c>
      <c r="AA159" s="534">
        <v>1139.2829999999999</v>
      </c>
      <c r="AB159" s="534">
        <v>1223.0050000000001</v>
      </c>
      <c r="AC159" s="534">
        <v>1316.6369999999999</v>
      </c>
      <c r="AD159" s="534">
        <v>1411.124</v>
      </c>
      <c r="AE159" s="534">
        <v>1464.5329999999999</v>
      </c>
      <c r="AF159" s="534">
        <v>1430.865</v>
      </c>
    </row>
    <row r="160" spans="1:32">
      <c r="A160" s="22">
        <v>780</v>
      </c>
      <c r="B160" s="22" t="s">
        <v>165</v>
      </c>
      <c r="C160" s="534">
        <v>10.243830000000001</v>
      </c>
      <c r="D160" s="534">
        <v>12.27924</v>
      </c>
      <c r="E160" s="534">
        <v>13.391640000000001</v>
      </c>
      <c r="F160" s="534">
        <v>15.011039999999999</v>
      </c>
      <c r="G160" s="534">
        <v>17.08774</v>
      </c>
      <c r="H160" s="534">
        <v>17.022110000000001</v>
      </c>
      <c r="I160" s="534">
        <v>18.61206</v>
      </c>
      <c r="J160" s="534">
        <v>19.86253</v>
      </c>
      <c r="K160" s="534">
        <v>20.989989999999999</v>
      </c>
      <c r="L160" s="534">
        <v>21.655830000000002</v>
      </c>
      <c r="M160" s="534">
        <v>23.447399999999998</v>
      </c>
      <c r="N160" s="534">
        <v>25.589780000000001</v>
      </c>
      <c r="O160" s="534">
        <v>27.13232</v>
      </c>
      <c r="P160" s="534">
        <v>29.677109999999999</v>
      </c>
      <c r="Q160" s="534">
        <v>31.539239999999999</v>
      </c>
      <c r="R160" s="534">
        <v>33.918599999999998</v>
      </c>
      <c r="S160" s="534">
        <v>35.840339999999998</v>
      </c>
      <c r="T160" s="534">
        <v>39.061070000000001</v>
      </c>
      <c r="U160" s="534">
        <v>43.28613</v>
      </c>
      <c r="V160" s="534">
        <v>43.694099999999999</v>
      </c>
      <c r="W160" s="534">
        <v>46.036290000000001</v>
      </c>
      <c r="X160" s="534">
        <v>47.708750000000002</v>
      </c>
      <c r="Y160" s="534">
        <v>51.589309999999998</v>
      </c>
      <c r="Z160" s="534">
        <v>57.642150000000001</v>
      </c>
      <c r="AA160" s="534">
        <v>61.466549999999998</v>
      </c>
      <c r="AB160" s="534">
        <v>66.797970000000007</v>
      </c>
      <c r="AC160" s="534">
        <v>73.439989999999995</v>
      </c>
      <c r="AD160" s="534">
        <v>80.307149999999993</v>
      </c>
      <c r="AE160" s="534">
        <v>86.781490000000005</v>
      </c>
      <c r="AF160" s="534">
        <v>92.097340000000003</v>
      </c>
    </row>
    <row r="161" spans="1:32">
      <c r="A161" s="22">
        <v>403</v>
      </c>
      <c r="B161" s="22" t="s">
        <v>82</v>
      </c>
      <c r="C161" s="534">
        <v>7.00321E-2</v>
      </c>
      <c r="D161" s="534">
        <v>6.8755800000000006E-2</v>
      </c>
      <c r="E161" s="534">
        <v>7.45836E-2</v>
      </c>
      <c r="F161" s="534">
        <v>7.41956E-2</v>
      </c>
      <c r="G161" s="534">
        <v>7.2174199999999994E-2</v>
      </c>
      <c r="H161" s="534">
        <v>8.1374600000000005E-2</v>
      </c>
      <c r="I161" s="534">
        <v>7.8076800000000002E-2</v>
      </c>
      <c r="J161" s="534">
        <v>7.8065700000000002E-2</v>
      </c>
      <c r="K161" s="534">
        <v>8.2149799999999995E-2</v>
      </c>
      <c r="L161" s="534">
        <v>8.8025699999999998E-2</v>
      </c>
      <c r="M161" s="534">
        <v>8.9523000000000005E-2</v>
      </c>
      <c r="N161" s="534">
        <v>9.36004E-2</v>
      </c>
      <c r="O161" s="534">
        <v>9.6166600000000005E-2</v>
      </c>
      <c r="P161" s="534">
        <v>9.9329000000000001E-2</v>
      </c>
      <c r="Q161" s="534">
        <v>0.1032694</v>
      </c>
      <c r="R161" s="534">
        <v>0.1066812</v>
      </c>
      <c r="S161" s="534">
        <v>0.1102934</v>
      </c>
      <c r="T161" s="534">
        <v>0.11353820000000001</v>
      </c>
      <c r="U161" s="534">
        <v>0.117287</v>
      </c>
      <c r="V161" s="534">
        <v>0.1221329</v>
      </c>
      <c r="W161" s="534">
        <v>0.12606000000000001</v>
      </c>
      <c r="X161" s="534">
        <v>0.1329729</v>
      </c>
      <c r="Y161" s="534">
        <v>0.15106130000000001</v>
      </c>
      <c r="Z161" s="534">
        <v>0.16462679999999999</v>
      </c>
      <c r="AA161" s="534">
        <v>0.17808740000000001</v>
      </c>
      <c r="AB161" s="534">
        <v>0.2235586</v>
      </c>
      <c r="AC161" s="534">
        <v>0.24748129999999999</v>
      </c>
      <c r="AD161" s="534">
        <v>0.27383180000000001</v>
      </c>
      <c r="AE161" s="534">
        <v>0.30311329999999997</v>
      </c>
      <c r="AF161" s="534">
        <v>0.32759290000000002</v>
      </c>
    </row>
    <row r="162" spans="1:32">
      <c r="A162" s="22">
        <v>625</v>
      </c>
      <c r="B162" s="22" t="s">
        <v>132</v>
      </c>
      <c r="C162" s="534">
        <v>14.04143</v>
      </c>
      <c r="D162" s="534">
        <v>16.83427</v>
      </c>
      <c r="E162" s="534">
        <v>18.43215</v>
      </c>
      <c r="F162" s="534">
        <v>17.218520000000002</v>
      </c>
      <c r="G162" s="534">
        <v>17.524709999999999</v>
      </c>
      <c r="H162" s="534">
        <v>16.4664</v>
      </c>
      <c r="I162" s="534">
        <v>16.495080000000002</v>
      </c>
      <c r="J162" s="534">
        <v>19.234220000000001</v>
      </c>
      <c r="K162" s="534">
        <v>20.37913</v>
      </c>
      <c r="L162" s="534">
        <v>23.281700000000001</v>
      </c>
      <c r="M162" s="534">
        <v>24.08428</v>
      </c>
      <c r="N162" s="534">
        <v>26.511970000000002</v>
      </c>
      <c r="O162" s="534">
        <v>28.211729999999999</v>
      </c>
      <c r="P162" s="534">
        <v>30.216989999999999</v>
      </c>
      <c r="Q162" s="534">
        <v>32.343679999999999</v>
      </c>
      <c r="R162" s="534">
        <v>32.672199999999997</v>
      </c>
      <c r="S162" s="534">
        <v>38.55903</v>
      </c>
      <c r="T162" s="534">
        <v>41.404850000000003</v>
      </c>
      <c r="U162" s="534">
        <v>41.705480000000001</v>
      </c>
      <c r="V162" s="534">
        <v>47.116399999999999</v>
      </c>
      <c r="W162" s="534">
        <v>50.54092</v>
      </c>
      <c r="X162" s="534">
        <v>51.321640000000002</v>
      </c>
      <c r="Y162" s="534">
        <v>48.594549999999998</v>
      </c>
      <c r="Z162" s="534">
        <v>47.265099999999997</v>
      </c>
      <c r="AA162" s="534">
        <v>70.013390000000001</v>
      </c>
      <c r="AB162" s="534">
        <v>71.947779999999995</v>
      </c>
      <c r="AC162" s="534">
        <v>79.937529999999995</v>
      </c>
      <c r="AD162" s="534">
        <v>90.747150000000005</v>
      </c>
      <c r="AE162" s="534">
        <v>100.42610000000001</v>
      </c>
      <c r="AF162" s="534">
        <v>103.7774</v>
      </c>
    </row>
    <row r="163" spans="1:32">
      <c r="A163" s="22">
        <v>115</v>
      </c>
      <c r="B163" s="22" t="s">
        <v>26</v>
      </c>
      <c r="C163" s="534">
        <v>1.486256</v>
      </c>
      <c r="D163" s="534">
        <v>1.761063</v>
      </c>
      <c r="E163" s="534">
        <v>1.830854</v>
      </c>
      <c r="F163" s="534">
        <v>1.810551</v>
      </c>
      <c r="G163" s="534">
        <v>1.900941</v>
      </c>
      <c r="H163" s="534">
        <v>2.2940209999999999</v>
      </c>
      <c r="I163" s="534">
        <v>2.3132679999999999</v>
      </c>
      <c r="J163" s="534">
        <v>2.21882</v>
      </c>
      <c r="K163" s="534">
        <v>2.5083190000000002</v>
      </c>
      <c r="L163" s="534">
        <v>2.5999340000000002</v>
      </c>
      <c r="M163" s="534">
        <v>2.4936850000000002</v>
      </c>
      <c r="N163" s="534">
        <v>2.7298779999999998</v>
      </c>
      <c r="O163" s="534">
        <v>2.7131829999999999</v>
      </c>
      <c r="P163" s="534">
        <v>2.470996</v>
      </c>
      <c r="Q163" s="534">
        <v>2.1435209999999998</v>
      </c>
      <c r="R163" s="534">
        <v>2.2919019999999999</v>
      </c>
      <c r="S163" s="534">
        <v>2.6592180000000001</v>
      </c>
      <c r="T163" s="534">
        <v>3.0212059999999998</v>
      </c>
      <c r="U163" s="534">
        <v>3.2295440000000002</v>
      </c>
      <c r="V163" s="534">
        <v>2.3750960000000001</v>
      </c>
      <c r="W163" s="534">
        <v>2.5181279999999999</v>
      </c>
      <c r="X163" s="534">
        <v>2.740726</v>
      </c>
      <c r="Y163" s="534">
        <v>2.8407960000000001</v>
      </c>
      <c r="Z163" s="534">
        <v>3.1423920000000001</v>
      </c>
      <c r="AA163" s="534">
        <v>3.2372070000000002</v>
      </c>
      <c r="AB163" s="534">
        <v>4.2748270000000002</v>
      </c>
      <c r="AC163" s="534">
        <v>4.5799110000000001</v>
      </c>
      <c r="AD163" s="534">
        <v>5.1696260000000001</v>
      </c>
      <c r="AE163" s="534">
        <v>5.5725319999999998</v>
      </c>
      <c r="AF163" s="534">
        <v>5.6488240000000003</v>
      </c>
    </row>
    <row r="164" spans="1:32">
      <c r="A164" s="22">
        <v>57</v>
      </c>
      <c r="B164" s="22" t="s">
        <v>12</v>
      </c>
      <c r="C164" s="534">
        <v>9.1109099999999998E-2</v>
      </c>
      <c r="D164" s="534">
        <v>0.1073766</v>
      </c>
      <c r="E164" s="534">
        <v>0.1193179</v>
      </c>
      <c r="F164" s="534">
        <v>0.13090199999999999</v>
      </c>
      <c r="G164" s="534">
        <v>0.14352400000000001</v>
      </c>
      <c r="H164" s="534">
        <v>0.15357760000000001</v>
      </c>
      <c r="I164" s="534">
        <v>0.16848260000000001</v>
      </c>
      <c r="J164" s="534">
        <v>0.1785757</v>
      </c>
      <c r="K164" s="534">
        <v>0.21407480000000001</v>
      </c>
      <c r="L164" s="534">
        <v>0.2290259</v>
      </c>
      <c r="M164" s="534">
        <v>0.2727098</v>
      </c>
      <c r="N164" s="534">
        <v>0.2821514</v>
      </c>
      <c r="O164" s="534">
        <v>0.28727209999999997</v>
      </c>
      <c r="P164" s="534">
        <v>0.29571779999999998</v>
      </c>
      <c r="Q164" s="534">
        <v>0.29643120000000001</v>
      </c>
      <c r="R164" s="534">
        <v>0.33642850000000002</v>
      </c>
      <c r="S164" s="534">
        <v>0.34810029999999997</v>
      </c>
      <c r="T164" s="534">
        <v>0.37171720000000003</v>
      </c>
      <c r="U164" s="534">
        <v>0.36934299999999998</v>
      </c>
      <c r="V164" s="534">
        <v>0.39969399999999999</v>
      </c>
      <c r="W164" s="534">
        <v>0.42094280000000001</v>
      </c>
      <c r="X164" s="534">
        <v>0.42953819999999998</v>
      </c>
      <c r="Y164" s="534">
        <v>0.45555000000000001</v>
      </c>
      <c r="Z164" s="534">
        <v>0.47094960000000002</v>
      </c>
      <c r="AA164" s="534">
        <v>0.51435359999999997</v>
      </c>
      <c r="AB164" s="534">
        <v>0.54292300000000004</v>
      </c>
      <c r="AC164" s="534">
        <v>0.6379958</v>
      </c>
      <c r="AD164" s="534">
        <v>0.76482539999999999</v>
      </c>
      <c r="AE164" s="534">
        <v>0.85554059999999998</v>
      </c>
      <c r="AF164" s="534">
        <v>0.8608905</v>
      </c>
    </row>
    <row r="165" spans="1:32">
      <c r="A165" s="22">
        <v>572</v>
      </c>
      <c r="B165" s="22" t="s">
        <v>123</v>
      </c>
      <c r="C165" s="534">
        <v>0.6666936</v>
      </c>
      <c r="D165" s="534">
        <v>0.76949979999999996</v>
      </c>
      <c r="E165" s="534">
        <v>0.81237780000000004</v>
      </c>
      <c r="F165" s="534">
        <v>0.86059569999999996</v>
      </c>
      <c r="G165" s="534">
        <v>0.96839589999999998</v>
      </c>
      <c r="H165" s="534">
        <v>1.111178</v>
      </c>
      <c r="I165" s="534">
        <v>1.216356</v>
      </c>
      <c r="J165" s="534">
        <v>1.407964</v>
      </c>
      <c r="K165" s="534">
        <v>1.558381</v>
      </c>
      <c r="L165" s="534">
        <v>1.738067</v>
      </c>
      <c r="M165" s="534">
        <v>1.9954940000000001</v>
      </c>
      <c r="N165" s="534">
        <v>2.090662</v>
      </c>
      <c r="O165" s="534">
        <v>2.1807840000000001</v>
      </c>
      <c r="P165" s="534">
        <v>2.2721819999999999</v>
      </c>
      <c r="Q165" s="534">
        <v>2.3911500000000001</v>
      </c>
      <c r="R165" s="534">
        <v>2.5468989999999998</v>
      </c>
      <c r="S165" s="534">
        <v>2.693721</v>
      </c>
      <c r="T165" s="534">
        <v>2.7871069999999998</v>
      </c>
      <c r="U165" s="534">
        <v>2.8997649999999999</v>
      </c>
      <c r="V165" s="534">
        <v>3.0626039999999999</v>
      </c>
      <c r="W165" s="534">
        <v>3.2090480000000001</v>
      </c>
      <c r="X165" s="534">
        <v>3.3442810000000001</v>
      </c>
      <c r="Y165" s="534">
        <v>3.5106039999999998</v>
      </c>
      <c r="Z165" s="534">
        <v>3.6986919999999999</v>
      </c>
      <c r="AA165" s="534">
        <v>3.8837259999999998</v>
      </c>
      <c r="AB165" s="534">
        <v>4.1752770000000003</v>
      </c>
      <c r="AC165" s="534">
        <v>4.4656039999999999</v>
      </c>
      <c r="AD165" s="534">
        <v>4.7760769999999999</v>
      </c>
      <c r="AE165" s="534">
        <v>4.9897970000000003</v>
      </c>
      <c r="AF165" s="534">
        <v>5.0896309999999998</v>
      </c>
    </row>
    <row r="166" spans="1:32">
      <c r="A166" s="22">
        <v>380</v>
      </c>
      <c r="B166" s="22" t="s">
        <v>77</v>
      </c>
      <c r="C166" s="534">
        <v>92.261120000000005</v>
      </c>
      <c r="D166" s="534">
        <v>100.6408</v>
      </c>
      <c r="E166" s="534">
        <v>106.27249999999999</v>
      </c>
      <c r="F166" s="534">
        <v>111.9102</v>
      </c>
      <c r="G166" s="534">
        <v>121.97410000000001</v>
      </c>
      <c r="H166" s="534">
        <v>127.8734</v>
      </c>
      <c r="I166" s="534">
        <v>136.6712</v>
      </c>
      <c r="J166" s="534">
        <v>145.06290000000001</v>
      </c>
      <c r="K166" s="534">
        <v>154.19120000000001</v>
      </c>
      <c r="L166" s="534">
        <v>164.64529999999999</v>
      </c>
      <c r="M166" s="534">
        <v>172.2645</v>
      </c>
      <c r="N166" s="534">
        <v>177.30799999999999</v>
      </c>
      <c r="O166" s="534">
        <v>179.06829999999999</v>
      </c>
      <c r="P166" s="534">
        <v>177.9521</v>
      </c>
      <c r="Q166" s="534">
        <v>188.93780000000001</v>
      </c>
      <c r="R166" s="534">
        <v>201.8409</v>
      </c>
      <c r="S166" s="534">
        <v>206.8914</v>
      </c>
      <c r="T166" s="534">
        <v>214.31319999999999</v>
      </c>
      <c r="U166" s="534">
        <v>222.82130000000001</v>
      </c>
      <c r="V166" s="534">
        <v>233.78720000000001</v>
      </c>
      <c r="W166" s="534">
        <v>247.97839999999999</v>
      </c>
      <c r="X166" s="534">
        <v>254.8861</v>
      </c>
      <c r="Y166" s="534">
        <v>263.0308</v>
      </c>
      <c r="Z166" s="534">
        <v>273.50970000000001</v>
      </c>
      <c r="AA166" s="534">
        <v>291.34469999999999</v>
      </c>
      <c r="AB166" s="534">
        <v>313.76760000000002</v>
      </c>
      <c r="AC166" s="534">
        <v>338.19380000000001</v>
      </c>
      <c r="AD166" s="534">
        <v>362.9744</v>
      </c>
      <c r="AE166" s="534">
        <v>373.62189999999998</v>
      </c>
      <c r="AF166" s="534">
        <v>356.01280000000003</v>
      </c>
    </row>
    <row r="167" spans="1:32">
      <c r="A167" s="22">
        <v>225</v>
      </c>
      <c r="B167" s="22" t="s">
        <v>43</v>
      </c>
      <c r="C167" s="534">
        <v>87.749219999999994</v>
      </c>
      <c r="D167" s="534">
        <v>97.124070000000003</v>
      </c>
      <c r="E167" s="534">
        <v>102.69450000000001</v>
      </c>
      <c r="F167" s="534">
        <v>107.47839999999999</v>
      </c>
      <c r="G167" s="534">
        <v>115.3563</v>
      </c>
      <c r="H167" s="534">
        <v>121.9157</v>
      </c>
      <c r="I167" s="534">
        <v>131.10140000000001</v>
      </c>
      <c r="J167" s="534">
        <v>138.99809999999999</v>
      </c>
      <c r="K167" s="534">
        <v>147.2295</v>
      </c>
      <c r="L167" s="534">
        <v>158.46770000000001</v>
      </c>
      <c r="M167" s="534">
        <v>172.14920000000001</v>
      </c>
      <c r="N167" s="534">
        <v>176.81389999999999</v>
      </c>
      <c r="O167" s="534">
        <v>179.76329999999999</v>
      </c>
      <c r="P167" s="534">
        <v>185.21950000000001</v>
      </c>
      <c r="Q167" s="534">
        <v>193.7192</v>
      </c>
      <c r="R167" s="534">
        <v>200.44810000000001</v>
      </c>
      <c r="S167" s="534">
        <v>203.59829999999999</v>
      </c>
      <c r="T167" s="534">
        <v>207.6628</v>
      </c>
      <c r="U167" s="534">
        <v>215.97280000000001</v>
      </c>
      <c r="V167" s="534">
        <v>220.6054</v>
      </c>
      <c r="W167" s="534">
        <v>232.03200000000001</v>
      </c>
      <c r="X167" s="534">
        <v>239.31360000000001</v>
      </c>
      <c r="Y167" s="534">
        <v>247.78880000000001</v>
      </c>
      <c r="Z167" s="534">
        <v>254.3503</v>
      </c>
      <c r="AA167" s="534">
        <v>267.93209999999999</v>
      </c>
      <c r="AB167" s="534">
        <v>281.33280000000002</v>
      </c>
      <c r="AC167" s="534">
        <v>300.59339999999997</v>
      </c>
      <c r="AD167" s="534">
        <v>320.4434</v>
      </c>
      <c r="AE167" s="534">
        <v>336.31790000000001</v>
      </c>
      <c r="AF167" s="534">
        <v>337.42430000000002</v>
      </c>
    </row>
    <row r="168" spans="1:32">
      <c r="A168" s="22">
        <v>652</v>
      </c>
      <c r="B168" s="22" t="s">
        <v>137</v>
      </c>
      <c r="C168" s="534">
        <v>13.855029999999999</v>
      </c>
      <c r="D168" s="534">
        <v>16.10614</v>
      </c>
      <c r="E168" s="534">
        <v>17.564060000000001</v>
      </c>
      <c r="F168" s="534">
        <v>17.899069999999998</v>
      </c>
      <c r="G168" s="534">
        <v>18.16602</v>
      </c>
      <c r="H168" s="534">
        <v>20.541699999999999</v>
      </c>
      <c r="I168" s="534">
        <v>20.206849999999999</v>
      </c>
      <c r="J168" s="534">
        <v>21.297460000000001</v>
      </c>
      <c r="K168" s="534">
        <v>24.952449999999999</v>
      </c>
      <c r="L168" s="534">
        <v>23.913650000000001</v>
      </c>
      <c r="M168" s="534">
        <v>24.902069999999998</v>
      </c>
      <c r="N168" s="534">
        <v>24.453109999999999</v>
      </c>
      <c r="O168" s="534">
        <v>28.018599999999999</v>
      </c>
      <c r="P168" s="534">
        <v>28.625419999999998</v>
      </c>
      <c r="Q168" s="534">
        <v>29.671500000000002</v>
      </c>
      <c r="R168" s="534">
        <v>33.62959</v>
      </c>
      <c r="S168" s="534">
        <v>35.858260000000001</v>
      </c>
      <c r="T168" s="534">
        <v>38.02713</v>
      </c>
      <c r="U168" s="534">
        <v>40.595480000000002</v>
      </c>
      <c r="V168" s="534">
        <v>39.820540000000001</v>
      </c>
      <c r="W168" s="534">
        <v>43.426000000000002</v>
      </c>
      <c r="X168" s="534">
        <v>45.616070000000001</v>
      </c>
      <c r="Y168" s="534">
        <v>49.36994</v>
      </c>
      <c r="Z168" s="534">
        <v>52.567500000000003</v>
      </c>
      <c r="AA168" s="534">
        <v>60.333750000000002</v>
      </c>
      <c r="AB168" s="534">
        <v>71.467060000000004</v>
      </c>
      <c r="AC168" s="534">
        <v>71.384519999999995</v>
      </c>
      <c r="AD168" s="534">
        <v>77.662379999999999</v>
      </c>
      <c r="AE168" s="534">
        <v>84.271339999999995</v>
      </c>
      <c r="AF168" s="534">
        <v>76.430890000000005</v>
      </c>
    </row>
    <row r="169" spans="1:32">
      <c r="A169" s="22">
        <v>702</v>
      </c>
      <c r="B169" s="22" t="s">
        <v>150</v>
      </c>
      <c r="N169" s="534"/>
      <c r="O169" s="534"/>
      <c r="P169" s="534">
        <v>5.9536639999999998</v>
      </c>
      <c r="Q169" s="534">
        <v>5.8776140000000003</v>
      </c>
      <c r="R169" s="534">
        <v>4.4305099999999999</v>
      </c>
      <c r="S169" s="534">
        <v>4.041175</v>
      </c>
      <c r="T169" s="534">
        <v>3.79426</v>
      </c>
      <c r="U169" s="534">
        <v>3.8538009999999998</v>
      </c>
      <c r="V169" s="534">
        <v>4.7323829999999996</v>
      </c>
      <c r="W169" s="534">
        <v>5.704485</v>
      </c>
      <c r="X169" s="534">
        <v>6.2393660000000004</v>
      </c>
      <c r="Y169" s="534">
        <v>6.8016420000000002</v>
      </c>
      <c r="Z169" s="534">
        <v>8.186598</v>
      </c>
      <c r="AA169" s="534">
        <v>9.2242569999999997</v>
      </c>
      <c r="AB169" s="534">
        <v>10.38317</v>
      </c>
      <c r="AC169" s="534">
        <v>11.66878</v>
      </c>
      <c r="AD169" s="534">
        <v>13.968170000000001</v>
      </c>
      <c r="AE169" s="534">
        <v>16.796060000000001</v>
      </c>
      <c r="AF169" s="534">
        <v>16.269739999999999</v>
      </c>
    </row>
    <row r="170" spans="1:32">
      <c r="A170" s="22">
        <v>713</v>
      </c>
      <c r="B170" s="22" t="s">
        <v>156</v>
      </c>
      <c r="C170" s="534">
        <v>64.217569999999995</v>
      </c>
      <c r="D170" s="534">
        <v>75.088290000000001</v>
      </c>
      <c r="E170" s="534">
        <v>83.227519999999998</v>
      </c>
      <c r="F170" s="534">
        <v>94.413219999999995</v>
      </c>
      <c r="G170" s="534">
        <v>109.5311</v>
      </c>
      <c r="H170" s="534">
        <v>119.6944</v>
      </c>
      <c r="I170" s="534">
        <v>140.13030000000001</v>
      </c>
      <c r="J170" s="534">
        <v>161.1884</v>
      </c>
      <c r="K170" s="534">
        <v>176.67330000000001</v>
      </c>
      <c r="L170" s="534">
        <v>196.6542</v>
      </c>
      <c r="M170" s="534">
        <v>215.35400000000001</v>
      </c>
      <c r="N170" s="534">
        <v>240.46379999999999</v>
      </c>
      <c r="O170" s="534">
        <v>263.89299999999997</v>
      </c>
      <c r="P170" s="534">
        <v>288.60500000000002</v>
      </c>
      <c r="Q170" s="534">
        <v>313.54219999999998</v>
      </c>
      <c r="R170" s="534">
        <v>337.32619999999997</v>
      </c>
      <c r="S170" s="534">
        <v>368.84500000000003</v>
      </c>
      <c r="T170" s="534">
        <v>401.26400000000001</v>
      </c>
      <c r="U170" s="534">
        <v>424.29669999999999</v>
      </c>
      <c r="V170" s="534">
        <v>448.27839999999998</v>
      </c>
      <c r="W170" s="534">
        <v>475.54329999999999</v>
      </c>
      <c r="X170" s="534">
        <v>474.76249999999999</v>
      </c>
      <c r="Y170" s="534">
        <v>527.39300000000003</v>
      </c>
      <c r="Z170" s="534">
        <v>544.46140000000003</v>
      </c>
      <c r="AA170" s="534">
        <v>571.43690000000004</v>
      </c>
      <c r="AB170" s="534">
        <v>612.86080000000004</v>
      </c>
      <c r="AC170" s="534">
        <v>666.8021</v>
      </c>
      <c r="AD170" s="534">
        <v>731.83360000000005</v>
      </c>
      <c r="AE170" s="534">
        <v>697.62890000000004</v>
      </c>
      <c r="AF170" s="534">
        <v>709.35550000000001</v>
      </c>
    </row>
    <row r="171" spans="1:32">
      <c r="A171" s="22">
        <v>510</v>
      </c>
      <c r="B171" s="22" t="s">
        <v>107</v>
      </c>
      <c r="C171" s="534">
        <v>6.0031689999999998</v>
      </c>
      <c r="D171" s="534">
        <v>6.5083080000000004</v>
      </c>
      <c r="E171" s="534">
        <v>6.8338739999999998</v>
      </c>
      <c r="F171" s="534">
        <v>7.025239</v>
      </c>
      <c r="G171" s="534">
        <v>7.4777420000000001</v>
      </c>
      <c r="H171" s="534">
        <v>8.0300630000000002</v>
      </c>
      <c r="I171" s="534">
        <v>8.4240060000000003</v>
      </c>
      <c r="J171" s="534">
        <v>9.1978600000000004</v>
      </c>
      <c r="K171" s="534">
        <v>9.9272609999999997</v>
      </c>
      <c r="L171" s="534">
        <v>10.645759999999999</v>
      </c>
      <c r="M171" s="534">
        <v>11.734819999999999</v>
      </c>
      <c r="N171" s="534">
        <v>13.39181</v>
      </c>
      <c r="O171" s="534">
        <v>13.55363</v>
      </c>
      <c r="P171" s="534">
        <v>13.20927</v>
      </c>
      <c r="Q171" s="534">
        <v>14.34839</v>
      </c>
      <c r="R171" s="534">
        <v>15.209339999999999</v>
      </c>
      <c r="S171" s="534">
        <v>16.684650000000001</v>
      </c>
      <c r="T171" s="534">
        <v>18.366689999999998</v>
      </c>
      <c r="U171" s="534">
        <v>19.990220000000001</v>
      </c>
      <c r="V171" s="534">
        <v>21.460049999999999</v>
      </c>
      <c r="W171" s="534">
        <v>22.835180000000001</v>
      </c>
      <c r="X171" s="534">
        <v>23.197220000000002</v>
      </c>
      <c r="Y171" s="534">
        <v>26.663019999999999</v>
      </c>
      <c r="Z171" s="534">
        <v>27.284140000000001</v>
      </c>
      <c r="AA171" s="534">
        <v>29.999230000000001</v>
      </c>
      <c r="AB171" s="534">
        <v>35.53519</v>
      </c>
      <c r="AC171" s="534">
        <v>38.83831</v>
      </c>
      <c r="AD171" s="534">
        <v>42.227469999999997</v>
      </c>
      <c r="AE171" s="534">
        <v>47.007370000000002</v>
      </c>
      <c r="AF171" s="534">
        <v>51.070810000000002</v>
      </c>
    </row>
    <row r="172" spans="1:32">
      <c r="A172" s="22">
        <v>800</v>
      </c>
      <c r="B172" s="22" t="s">
        <v>168</v>
      </c>
      <c r="C172" s="534">
        <v>61.540599999999998</v>
      </c>
      <c r="D172" s="534">
        <v>71.078969999999998</v>
      </c>
      <c r="E172" s="534">
        <v>77.42456</v>
      </c>
      <c r="F172" s="534">
        <v>84.908069999999995</v>
      </c>
      <c r="G172" s="534">
        <v>95.321669999999997</v>
      </c>
      <c r="H172" s="534">
        <v>99.983990000000006</v>
      </c>
      <c r="I172" s="534">
        <v>107.7533</v>
      </c>
      <c r="J172" s="534">
        <v>121.4562</v>
      </c>
      <c r="K172" s="534">
        <v>141.3569</v>
      </c>
      <c r="L172" s="534">
        <v>162.9915</v>
      </c>
      <c r="M172" s="534">
        <v>193.44800000000001</v>
      </c>
      <c r="N172" s="534">
        <v>219.1695</v>
      </c>
      <c r="O172" s="534">
        <v>244.86420000000001</v>
      </c>
      <c r="P172" s="534">
        <v>270.15050000000002</v>
      </c>
      <c r="Q172" s="534">
        <v>297.00200000000001</v>
      </c>
      <c r="R172" s="534">
        <v>329.8005</v>
      </c>
      <c r="S172" s="534">
        <v>354.74540000000002</v>
      </c>
      <c r="T172" s="534">
        <v>345.18169999999998</v>
      </c>
      <c r="U172" s="534">
        <v>303.3331</v>
      </c>
      <c r="V172" s="534">
        <v>312.39240000000001</v>
      </c>
      <c r="W172" s="534">
        <v>326.98489999999998</v>
      </c>
      <c r="X172" s="534">
        <v>337.85059999999999</v>
      </c>
      <c r="Y172" s="534">
        <v>361.9984</v>
      </c>
      <c r="Z172" s="534">
        <v>399.2867</v>
      </c>
      <c r="AA172" s="534">
        <v>435.0274</v>
      </c>
      <c r="AB172" s="534">
        <v>456.6857</v>
      </c>
      <c r="AC172" s="534">
        <v>499.98039999999997</v>
      </c>
      <c r="AD172" s="534">
        <v>556.61410000000001</v>
      </c>
      <c r="AE172" s="534">
        <v>566.49350000000004</v>
      </c>
      <c r="AF172" s="534">
        <v>572.93190000000004</v>
      </c>
    </row>
    <row r="173" spans="1:32">
      <c r="A173" s="22">
        <v>701</v>
      </c>
      <c r="B173" s="22" t="s">
        <v>149</v>
      </c>
      <c r="N173" s="534"/>
      <c r="O173" s="534"/>
      <c r="P173" s="534">
        <v>15.60482</v>
      </c>
      <c r="Q173" s="534">
        <v>13.19092</v>
      </c>
      <c r="R173" s="534">
        <v>12.144550000000001</v>
      </c>
      <c r="S173" s="534">
        <v>13.761749999999999</v>
      </c>
      <c r="T173" s="534">
        <v>11.90943</v>
      </c>
      <c r="U173" s="534">
        <v>13.08671</v>
      </c>
      <c r="V173" s="534">
        <v>15.221500000000001</v>
      </c>
      <c r="W173" s="534">
        <v>16.966999999999999</v>
      </c>
      <c r="X173" s="534">
        <v>17.643630000000002</v>
      </c>
      <c r="Y173" s="534">
        <v>18.05509</v>
      </c>
      <c r="Z173" s="534">
        <v>19.000579999999999</v>
      </c>
      <c r="AA173" s="534">
        <v>20.392769999999999</v>
      </c>
      <c r="AB173" s="534">
        <v>23.99934</v>
      </c>
      <c r="AC173" s="534">
        <v>27.184640000000002</v>
      </c>
      <c r="AD173" s="534">
        <v>31.557849999999998</v>
      </c>
      <c r="AE173" s="534">
        <v>35.582320000000003</v>
      </c>
      <c r="AF173" s="534">
        <v>37.58961</v>
      </c>
    </row>
    <row r="174" spans="1:32">
      <c r="A174" s="22">
        <v>461</v>
      </c>
      <c r="B174" s="22" t="s">
        <v>97</v>
      </c>
      <c r="C174" s="534">
        <v>1.7378229999999999</v>
      </c>
      <c r="D174" s="534">
        <v>1.693025</v>
      </c>
      <c r="E174" s="534">
        <v>1.8253839999999999</v>
      </c>
      <c r="F174" s="534">
        <v>1.8000640000000001</v>
      </c>
      <c r="G174" s="534">
        <v>1.932293</v>
      </c>
      <c r="H174" s="534">
        <v>2.034567</v>
      </c>
      <c r="I174" s="534">
        <v>2.1316389999999998</v>
      </c>
      <c r="J174" s="534">
        <v>2.0677430000000001</v>
      </c>
      <c r="K174" s="534">
        <v>2.3774959999999998</v>
      </c>
      <c r="L174" s="534">
        <v>2.626395</v>
      </c>
      <c r="M174" s="534">
        <v>2.942075</v>
      </c>
      <c r="N174" s="534">
        <v>2.9629059999999998</v>
      </c>
      <c r="O174" s="534">
        <v>2.9202810000000001</v>
      </c>
      <c r="P174" s="534">
        <v>2.451381</v>
      </c>
      <c r="Q174" s="534">
        <v>2.9048790000000002</v>
      </c>
      <c r="R174" s="534">
        <v>3.1785770000000002</v>
      </c>
      <c r="S174" s="534">
        <v>3.4696199999999999</v>
      </c>
      <c r="T174" s="534">
        <v>3.7299699999999998</v>
      </c>
      <c r="U174" s="534">
        <v>3.5841569999999998</v>
      </c>
      <c r="V174" s="534">
        <v>3.6565509999999999</v>
      </c>
      <c r="W174" s="534">
        <v>3.8135370000000002</v>
      </c>
      <c r="X174" s="534">
        <v>3.7019099999999998</v>
      </c>
      <c r="Y174" s="534">
        <v>3.7060490000000001</v>
      </c>
      <c r="Z174" s="534">
        <v>4.3037879999999999</v>
      </c>
      <c r="AA174" s="534">
        <v>4.4262969999999999</v>
      </c>
      <c r="AB174" s="534">
        <v>4.2173400000000001</v>
      </c>
      <c r="AC174" s="534">
        <v>4.8685679999999998</v>
      </c>
      <c r="AD174" s="534">
        <v>5.3679050000000004</v>
      </c>
      <c r="AE174" s="534">
        <v>5.0842980000000004</v>
      </c>
      <c r="AF174" s="534">
        <v>5.5744899999999999</v>
      </c>
    </row>
    <row r="175" spans="1:32">
      <c r="A175" s="22">
        <v>955</v>
      </c>
      <c r="B175" s="22" t="s">
        <v>185</v>
      </c>
      <c r="C175" s="534">
        <v>0.15325759999999999</v>
      </c>
      <c r="D175" s="534">
        <v>0.2302939</v>
      </c>
      <c r="E175" s="534">
        <v>0.28505039999999998</v>
      </c>
      <c r="F175" s="534">
        <v>0.29758499999999999</v>
      </c>
      <c r="G175" s="534">
        <v>0.26852989999999999</v>
      </c>
      <c r="H175" s="534">
        <v>0.2947533</v>
      </c>
      <c r="I175" s="534">
        <v>0.30657459999999997</v>
      </c>
      <c r="J175" s="534">
        <v>0.32701950000000002</v>
      </c>
      <c r="K175" s="534">
        <v>0.33061950000000001</v>
      </c>
      <c r="L175" s="534">
        <v>0.34548509999999999</v>
      </c>
      <c r="M175" s="534">
        <v>0.3541919</v>
      </c>
      <c r="N175" s="534">
        <v>0.3910381</v>
      </c>
      <c r="O175" s="534">
        <v>0.39986860000000002</v>
      </c>
      <c r="P175" s="534">
        <v>0.4211626</v>
      </c>
      <c r="Q175" s="534">
        <v>0.45137129999999998</v>
      </c>
      <c r="R175" s="534">
        <v>0.47303689999999998</v>
      </c>
      <c r="S175" s="534">
        <v>0.49275679999999999</v>
      </c>
      <c r="T175" s="534">
        <v>0.49428689999999997</v>
      </c>
      <c r="U175" s="534">
        <v>0.50710310000000003</v>
      </c>
      <c r="V175" s="534">
        <v>0.53817559999999998</v>
      </c>
      <c r="W175" s="534">
        <v>0.56851269999999998</v>
      </c>
      <c r="X175" s="534">
        <v>0.60013740000000004</v>
      </c>
      <c r="Y175" s="534">
        <v>0.61455689999999996</v>
      </c>
      <c r="Z175" s="534">
        <v>0.64427199999999996</v>
      </c>
      <c r="AA175" s="534">
        <v>0.67064820000000003</v>
      </c>
      <c r="AB175" s="534">
        <v>0.80576559999999997</v>
      </c>
      <c r="AC175" s="534">
        <v>0.85398810000000003</v>
      </c>
      <c r="AD175" s="534">
        <v>0.8408331</v>
      </c>
      <c r="AE175" s="534">
        <v>0.90138739999999995</v>
      </c>
      <c r="AF175" s="534">
        <v>0.91640310000000003</v>
      </c>
    </row>
    <row r="176" spans="1:32">
      <c r="A176" s="22">
        <v>52</v>
      </c>
      <c r="B176" s="22" t="s">
        <v>7</v>
      </c>
      <c r="C176" s="534">
        <v>8.2571130000000004</v>
      </c>
      <c r="D176" s="534">
        <v>8.9060830000000006</v>
      </c>
      <c r="E176" s="534">
        <v>8.5654229999999991</v>
      </c>
      <c r="F176" s="534">
        <v>8.0066179999999996</v>
      </c>
      <c r="G176" s="534">
        <v>8.0348830000000007</v>
      </c>
      <c r="H176" s="534">
        <v>8.1889009999999995</v>
      </c>
      <c r="I176" s="534">
        <v>7.3677729999999997</v>
      </c>
      <c r="J176" s="534">
        <v>7.1411340000000001</v>
      </c>
      <c r="K176" s="534">
        <v>6.7220279999999999</v>
      </c>
      <c r="L176" s="534">
        <v>7.2278060000000002</v>
      </c>
      <c r="M176" s="534">
        <v>8.0722900000000006</v>
      </c>
      <c r="N176" s="534">
        <v>8.6134550000000001</v>
      </c>
      <c r="O176" s="534">
        <v>8.2157540000000004</v>
      </c>
      <c r="P176" s="534">
        <v>8.1393830000000005</v>
      </c>
      <c r="Q176" s="534">
        <v>8.7997870000000002</v>
      </c>
      <c r="R176" s="534">
        <v>8.8925009999999993</v>
      </c>
      <c r="S176" s="534">
        <v>10.236420000000001</v>
      </c>
      <c r="T176" s="534">
        <v>11.42775</v>
      </c>
      <c r="U176" s="534">
        <v>12.004300000000001</v>
      </c>
      <c r="V176" s="534">
        <v>13.41051</v>
      </c>
      <c r="W176" s="534">
        <v>14.12837</v>
      </c>
      <c r="X176" s="534">
        <v>15.334020000000001</v>
      </c>
      <c r="Y176" s="534">
        <v>16.211539999999999</v>
      </c>
      <c r="Z176" s="534">
        <v>19.113440000000001</v>
      </c>
      <c r="AA176" s="534">
        <v>22.163340000000002</v>
      </c>
      <c r="AB176" s="534">
        <v>28.344750000000001</v>
      </c>
      <c r="AC176" s="534">
        <v>32.514510000000001</v>
      </c>
      <c r="AD176" s="534">
        <v>34.75311</v>
      </c>
      <c r="AE176" s="534">
        <v>39.302909999999997</v>
      </c>
      <c r="AF176" s="534">
        <v>35.859810000000003</v>
      </c>
    </row>
    <row r="177" spans="1:32">
      <c r="A177" s="22">
        <v>616</v>
      </c>
      <c r="B177" s="22" t="s">
        <v>130</v>
      </c>
      <c r="C177" s="534">
        <v>11.88381</v>
      </c>
      <c r="D177" s="534">
        <v>14.028930000000001</v>
      </c>
      <c r="E177" s="534">
        <v>14.761670000000001</v>
      </c>
      <c r="F177" s="534">
        <v>15.67554</v>
      </c>
      <c r="G177" s="534">
        <v>17.06371</v>
      </c>
      <c r="H177" s="534">
        <v>17.453399999999998</v>
      </c>
      <c r="I177" s="534">
        <v>16.486619999999998</v>
      </c>
      <c r="J177" s="534">
        <v>17.1203</v>
      </c>
      <c r="K177" s="534">
        <v>17.513059999999999</v>
      </c>
      <c r="L177" s="534">
        <v>18.896070000000002</v>
      </c>
      <c r="M177" s="534">
        <v>21.216909999999999</v>
      </c>
      <c r="N177" s="534">
        <v>22.486809999999998</v>
      </c>
      <c r="O177" s="534">
        <v>25.050239999999999</v>
      </c>
      <c r="P177" s="534">
        <v>25.778680000000001</v>
      </c>
      <c r="Q177" s="534">
        <v>26.584430000000001</v>
      </c>
      <c r="R177" s="534">
        <v>27.940940000000001</v>
      </c>
      <c r="S177" s="534">
        <v>30.84713</v>
      </c>
      <c r="T177" s="534">
        <v>32.309330000000003</v>
      </c>
      <c r="U177" s="534">
        <v>33.911540000000002</v>
      </c>
      <c r="V177" s="534">
        <v>36.652209999999997</v>
      </c>
      <c r="W177" s="534">
        <v>39.62865</v>
      </c>
      <c r="X177" s="534">
        <v>42.630839999999999</v>
      </c>
      <c r="Y177" s="534">
        <v>43.82864</v>
      </c>
      <c r="Z177" s="534">
        <v>47.25817</v>
      </c>
      <c r="AA177" s="534">
        <v>50.983409999999999</v>
      </c>
      <c r="AB177" s="534">
        <v>53.864510000000003</v>
      </c>
      <c r="AC177" s="534">
        <v>59.140569999999997</v>
      </c>
      <c r="AD177" s="534">
        <v>63.738909999999997</v>
      </c>
      <c r="AE177" s="534">
        <v>69.481700000000004</v>
      </c>
      <c r="AF177" s="534">
        <v>71.880480000000006</v>
      </c>
    </row>
    <row r="178" spans="1:32">
      <c r="A178" s="22">
        <v>640</v>
      </c>
      <c r="B178" s="22" t="s">
        <v>134</v>
      </c>
      <c r="C178" s="534">
        <v>118.32080000000001</v>
      </c>
      <c r="D178" s="534">
        <v>133.39580000000001</v>
      </c>
      <c r="E178" s="534">
        <v>146.31030000000001</v>
      </c>
      <c r="F178" s="534">
        <v>160.92500000000001</v>
      </c>
      <c r="G178" s="534">
        <v>179.19759999999999</v>
      </c>
      <c r="H178" s="534">
        <v>190.0591</v>
      </c>
      <c r="I178" s="534">
        <v>206.83189999999999</v>
      </c>
      <c r="J178" s="534">
        <v>227.59710000000001</v>
      </c>
      <c r="K178" s="534">
        <v>240.6705</v>
      </c>
      <c r="L178" s="534">
        <v>246.12799999999999</v>
      </c>
      <c r="M178" s="534">
        <v>284.77480000000003</v>
      </c>
      <c r="N178" s="534">
        <v>298.63229999999999</v>
      </c>
      <c r="O178" s="534">
        <v>320.61180000000002</v>
      </c>
      <c r="P178" s="534">
        <v>360.95850000000002</v>
      </c>
      <c r="Q178" s="534">
        <v>349.53969999999998</v>
      </c>
      <c r="R178" s="534">
        <v>374.63929999999999</v>
      </c>
      <c r="S178" s="534">
        <v>406.51839999999999</v>
      </c>
      <c r="T178" s="534">
        <v>450.53300000000002</v>
      </c>
      <c r="U178" s="534">
        <v>465.01920000000001</v>
      </c>
      <c r="V178" s="534">
        <v>460.00209999999998</v>
      </c>
      <c r="W178" s="534">
        <v>491.37400000000002</v>
      </c>
      <c r="X178" s="534">
        <v>479.93020000000001</v>
      </c>
      <c r="Y178" s="534">
        <v>514.60270000000003</v>
      </c>
      <c r="Z178" s="534">
        <v>557.91999999999996</v>
      </c>
      <c r="AA178" s="534">
        <v>630.57619999999997</v>
      </c>
      <c r="AB178" s="534">
        <v>706.51379999999995</v>
      </c>
      <c r="AC178" s="534">
        <v>768.09529999999995</v>
      </c>
      <c r="AD178" s="534">
        <v>834.53</v>
      </c>
      <c r="AE178" s="534">
        <v>860.29819999999995</v>
      </c>
      <c r="AF178" s="534">
        <v>836.13490000000002</v>
      </c>
    </row>
    <row r="179" spans="1:32">
      <c r="A179" s="22">
        <v>696</v>
      </c>
      <c r="B179" s="22" t="s">
        <v>146</v>
      </c>
      <c r="I179" s="534">
        <v>34.886200000000002</v>
      </c>
      <c r="J179" s="534">
        <v>37.385980000000004</v>
      </c>
      <c r="K179" s="534">
        <v>37.878929999999997</v>
      </c>
      <c r="L179" s="534">
        <v>44.794890000000002</v>
      </c>
      <c r="M179" s="534">
        <v>56.456040000000002</v>
      </c>
      <c r="N179" s="534">
        <v>57.877690000000001</v>
      </c>
      <c r="O179" s="534">
        <v>58.223149999999997</v>
      </c>
      <c r="P179" s="534">
        <v>53.283059999999999</v>
      </c>
      <c r="Q179" s="534">
        <v>56.106369999999998</v>
      </c>
      <c r="R179" s="534">
        <v>62.411479999999997</v>
      </c>
      <c r="S179" s="534">
        <v>69.123019999999997</v>
      </c>
      <c r="T179" s="534">
        <v>74.815889999999996</v>
      </c>
      <c r="U179" s="534">
        <v>67.109710000000007</v>
      </c>
      <c r="V179" s="534">
        <v>76.675870000000003</v>
      </c>
      <c r="W179" s="534">
        <v>103.61960000000001</v>
      </c>
      <c r="X179" s="534">
        <v>109.4616</v>
      </c>
      <c r="Y179" s="534">
        <v>110.789</v>
      </c>
      <c r="Z179" s="534">
        <v>127.7287</v>
      </c>
      <c r="AA179" s="534">
        <v>151.25989999999999</v>
      </c>
      <c r="AB179" s="534">
        <v>194.90440000000001</v>
      </c>
      <c r="AC179" s="534">
        <v>244.21559999999999</v>
      </c>
      <c r="AD179" s="534">
        <v>291.928</v>
      </c>
      <c r="AE179" s="534">
        <v>346.15260000000001</v>
      </c>
      <c r="AF179" s="534">
        <v>316.0172</v>
      </c>
    </row>
    <row r="180" spans="1:32">
      <c r="A180" s="22">
        <v>500</v>
      </c>
      <c r="B180" s="22" t="s">
        <v>105</v>
      </c>
      <c r="C180" s="534">
        <v>3.384236</v>
      </c>
      <c r="D180" s="534">
        <v>3.5051709999999998</v>
      </c>
      <c r="E180" s="534">
        <v>4.2189160000000001</v>
      </c>
      <c r="F180" s="534">
        <v>4.8536729999999997</v>
      </c>
      <c r="G180" s="534">
        <v>5.1766959999999997</v>
      </c>
      <c r="H180" s="534">
        <v>5.0774429999999997</v>
      </c>
      <c r="I180" s="534">
        <v>5.172326</v>
      </c>
      <c r="J180" s="534">
        <v>5.6364780000000003</v>
      </c>
      <c r="K180" s="534">
        <v>6.0555729999999999</v>
      </c>
      <c r="L180" s="534">
        <v>6.5886760000000004</v>
      </c>
      <c r="M180" s="534">
        <v>7.1275089999999999</v>
      </c>
      <c r="N180" s="534">
        <v>7.6309300000000002</v>
      </c>
      <c r="O180" s="534">
        <v>8.0593620000000001</v>
      </c>
      <c r="P180" s="534">
        <v>8.8719970000000004</v>
      </c>
      <c r="Q180" s="534">
        <v>11.343260000000001</v>
      </c>
      <c r="R180" s="534">
        <v>12.23428</v>
      </c>
      <c r="S180" s="534">
        <v>12.576269999999999</v>
      </c>
      <c r="T180" s="534">
        <v>14.114409999999999</v>
      </c>
      <c r="U180" s="534">
        <v>15.03387</v>
      </c>
      <c r="V180" s="534">
        <v>16.286660000000001</v>
      </c>
      <c r="W180" s="534">
        <v>17.07077</v>
      </c>
      <c r="X180" s="534">
        <v>18.355450000000001</v>
      </c>
      <c r="Y180" s="534">
        <v>19.627549999999999</v>
      </c>
      <c r="Z180" s="534">
        <v>21.234870000000001</v>
      </c>
      <c r="AA180" s="534">
        <v>23.16412</v>
      </c>
      <c r="AB180" s="534">
        <v>28.203250000000001</v>
      </c>
      <c r="AC180" s="534">
        <v>31.060369999999999</v>
      </c>
      <c r="AD180" s="534">
        <v>34.324109999999997</v>
      </c>
      <c r="AE180" s="534">
        <v>37.409590000000001</v>
      </c>
      <c r="AF180" s="534">
        <v>39.879420000000003</v>
      </c>
    </row>
    <row r="181" spans="1:32">
      <c r="A181" s="22">
        <v>200</v>
      </c>
      <c r="B181" s="22" t="s">
        <v>35</v>
      </c>
      <c r="C181" s="534">
        <v>522.67049999999995</v>
      </c>
      <c r="D181" s="534">
        <v>568.69560000000001</v>
      </c>
      <c r="E181" s="534">
        <v>604.57629999999995</v>
      </c>
      <c r="F181" s="534">
        <v>646.90419999999995</v>
      </c>
      <c r="G181" s="534">
        <v>682.40049999999997</v>
      </c>
      <c r="H181" s="534">
        <v>730.02449999999999</v>
      </c>
      <c r="I181" s="534">
        <v>766.5797</v>
      </c>
      <c r="J181" s="534">
        <v>825.06740000000002</v>
      </c>
      <c r="K181" s="534">
        <v>896.54359999999997</v>
      </c>
      <c r="L181" s="534">
        <v>953.76890000000003</v>
      </c>
      <c r="M181" s="534">
        <v>1006.405</v>
      </c>
      <c r="N181" s="534">
        <v>1034.4469999999999</v>
      </c>
      <c r="O181" s="534">
        <v>1064.69</v>
      </c>
      <c r="P181" s="534">
        <v>1110.7360000000001</v>
      </c>
      <c r="Q181" s="534">
        <v>1174.72</v>
      </c>
      <c r="R181" s="534">
        <v>1223.5830000000001</v>
      </c>
      <c r="S181" s="534">
        <v>1284.742</v>
      </c>
      <c r="T181" s="534">
        <v>1352.9570000000001</v>
      </c>
      <c r="U181" s="534">
        <v>1414.0350000000001</v>
      </c>
      <c r="V181" s="534">
        <v>1481.5229999999999</v>
      </c>
      <c r="W181" s="534">
        <v>1569.241</v>
      </c>
      <c r="X181" s="534">
        <v>1642.23</v>
      </c>
      <c r="Y181" s="534">
        <v>1717.9069999999999</v>
      </c>
      <c r="Z181" s="534">
        <v>1823.905</v>
      </c>
      <c r="AA181" s="534">
        <v>1942.623</v>
      </c>
      <c r="AB181" s="534">
        <v>2067.6280000000002</v>
      </c>
      <c r="AC181" s="534">
        <v>2198.5680000000002</v>
      </c>
      <c r="AD181" s="534">
        <v>2336.88</v>
      </c>
      <c r="AE181" s="534">
        <v>2410.8470000000002</v>
      </c>
      <c r="AF181" s="534">
        <v>2293.9450000000002</v>
      </c>
    </row>
    <row r="182" spans="1:32">
      <c r="A182" s="22">
        <v>369</v>
      </c>
      <c r="B182" s="22" t="s">
        <v>71</v>
      </c>
      <c r="N182" s="534"/>
      <c r="O182" s="534"/>
      <c r="P182" s="534">
        <v>216.95679999999999</v>
      </c>
      <c r="Q182" s="534">
        <v>182.72149999999999</v>
      </c>
      <c r="R182" s="534">
        <v>159.10239999999999</v>
      </c>
      <c r="S182" s="534">
        <v>144.50579999999999</v>
      </c>
      <c r="T182" s="534">
        <v>143.54220000000001</v>
      </c>
      <c r="U182" s="534">
        <v>145.5154</v>
      </c>
      <c r="V182" s="534">
        <v>150.37100000000001</v>
      </c>
      <c r="W182" s="534">
        <v>160.19640000000001</v>
      </c>
      <c r="X182" s="534">
        <v>175.22730000000001</v>
      </c>
      <c r="Y182" s="534">
        <v>190.3588</v>
      </c>
      <c r="Z182" s="534">
        <v>214.6499</v>
      </c>
      <c r="AA182" s="534">
        <v>253.45140000000001</v>
      </c>
      <c r="AB182" s="534">
        <v>283.12950000000001</v>
      </c>
      <c r="AC182" s="534">
        <v>320.90719999999999</v>
      </c>
      <c r="AD182" s="534">
        <v>375.00380000000001</v>
      </c>
      <c r="AE182" s="534">
        <v>413.6388</v>
      </c>
      <c r="AF182" s="534">
        <v>340.28840000000002</v>
      </c>
    </row>
    <row r="183" spans="1:32">
      <c r="A183" s="22">
        <v>165</v>
      </c>
      <c r="B183" s="22" t="s">
        <v>34</v>
      </c>
      <c r="C183" s="534">
        <v>9.3874849999999999</v>
      </c>
      <c r="D183" s="534">
        <v>10.404730000000001</v>
      </c>
      <c r="E183" s="534">
        <v>9.8347610000000003</v>
      </c>
      <c r="F183" s="534">
        <v>9.1309780000000007</v>
      </c>
      <c r="G183" s="534">
        <v>9.3523139999999998</v>
      </c>
      <c r="H183" s="534">
        <v>9.6100080000000005</v>
      </c>
      <c r="I183" s="534">
        <v>11.09531</v>
      </c>
      <c r="J183" s="534">
        <v>12.64011</v>
      </c>
      <c r="K183" s="534">
        <v>13.087590000000001</v>
      </c>
      <c r="L183" s="534">
        <v>13.65666</v>
      </c>
      <c r="M183" s="534">
        <v>13.80832</v>
      </c>
      <c r="N183" s="534">
        <v>15.00013</v>
      </c>
      <c r="O183" s="534">
        <v>17.31944</v>
      </c>
      <c r="P183" s="534">
        <v>18.460909999999998</v>
      </c>
      <c r="Q183" s="534">
        <v>20.44736</v>
      </c>
      <c r="R183" s="534">
        <v>20.631080000000001</v>
      </c>
      <c r="S183" s="534">
        <v>22.291419999999999</v>
      </c>
      <c r="T183" s="534">
        <v>23.908180000000002</v>
      </c>
      <c r="U183" s="534">
        <v>25.6492</v>
      </c>
      <c r="V183" s="534">
        <v>25.156569999999999</v>
      </c>
      <c r="W183" s="534">
        <v>24.76632</v>
      </c>
      <c r="X183" s="534">
        <v>24.56129</v>
      </c>
      <c r="Y183" s="534">
        <v>21.024699999999999</v>
      </c>
      <c r="Z183" s="534">
        <v>22.07957</v>
      </c>
      <c r="AA183" s="534">
        <v>25.748619999999999</v>
      </c>
      <c r="AB183" s="534">
        <v>29.087019999999999</v>
      </c>
      <c r="AC183" s="534">
        <v>31.277930000000001</v>
      </c>
      <c r="AD183" s="534">
        <v>34.7789</v>
      </c>
      <c r="AE183" s="534">
        <v>39.194890000000001</v>
      </c>
      <c r="AF183" s="534">
        <v>40.855870000000003</v>
      </c>
    </row>
    <row r="184" spans="1:32">
      <c r="A184" s="22">
        <v>2</v>
      </c>
      <c r="B184" s="22" t="s">
        <v>0</v>
      </c>
      <c r="C184" s="534">
        <v>2768.9</v>
      </c>
      <c r="D184" s="534">
        <v>3105.3</v>
      </c>
      <c r="E184" s="534">
        <v>3229.4</v>
      </c>
      <c r="F184" s="534">
        <v>3508.9</v>
      </c>
      <c r="G184" s="534">
        <v>3902.7</v>
      </c>
      <c r="H184" s="534">
        <v>4187.6000000000004</v>
      </c>
      <c r="I184" s="534">
        <v>4427.6009999999997</v>
      </c>
      <c r="J184" s="534">
        <v>4702.1000000000004</v>
      </c>
      <c r="K184" s="534">
        <v>5063.8999999999996</v>
      </c>
      <c r="L184" s="534">
        <v>5441.7</v>
      </c>
      <c r="M184" s="534">
        <v>5757.3</v>
      </c>
      <c r="N184" s="534">
        <v>5946.8</v>
      </c>
      <c r="O184" s="534">
        <v>6286.8</v>
      </c>
      <c r="P184" s="534">
        <v>6604.201</v>
      </c>
      <c r="Q184" s="534">
        <v>7017.6009999999997</v>
      </c>
      <c r="R184" s="534">
        <v>7342.3</v>
      </c>
      <c r="S184" s="534">
        <v>7762.3</v>
      </c>
      <c r="T184" s="534">
        <v>8250.9</v>
      </c>
      <c r="U184" s="534">
        <v>8694.6010000000006</v>
      </c>
      <c r="V184" s="534">
        <v>9216.2000000000007</v>
      </c>
      <c r="W184" s="534">
        <v>9764.8009999999995</v>
      </c>
      <c r="X184" s="534">
        <v>10076</v>
      </c>
      <c r="Y184" s="534">
        <v>10417.6</v>
      </c>
      <c r="Z184" s="534">
        <v>10907.9</v>
      </c>
      <c r="AA184" s="534">
        <v>11630.9</v>
      </c>
      <c r="AB184" s="534">
        <v>12579.8</v>
      </c>
      <c r="AC184" s="534">
        <v>13336.2</v>
      </c>
      <c r="AD184" s="534">
        <v>14010.7</v>
      </c>
      <c r="AE184" s="534">
        <v>14369.4</v>
      </c>
      <c r="AF184" s="534">
        <v>14003.78</v>
      </c>
    </row>
    <row r="185" spans="1:32">
      <c r="A185" s="22">
        <v>704</v>
      </c>
      <c r="B185" s="22" t="s">
        <v>152</v>
      </c>
      <c r="M185" s="534">
        <v>27.816859999999998</v>
      </c>
      <c r="N185" s="534">
        <v>28.292480000000001</v>
      </c>
      <c r="O185" s="534">
        <v>25.729759999999999</v>
      </c>
      <c r="P185" s="534">
        <v>25.82113</v>
      </c>
      <c r="Q185" s="534">
        <v>24.617349999999998</v>
      </c>
      <c r="R185" s="534">
        <v>25.21002</v>
      </c>
      <c r="S185" s="534">
        <v>25.97457</v>
      </c>
      <c r="T185" s="534">
        <v>27.547809999999998</v>
      </c>
      <c r="U185" s="534">
        <v>28.898070000000001</v>
      </c>
      <c r="V185" s="534">
        <v>30.67043</v>
      </c>
      <c r="W185" s="534">
        <v>32.295180000000002</v>
      </c>
      <c r="X185" s="534">
        <v>34.171550000000003</v>
      </c>
      <c r="Y185" s="534">
        <v>36.511699999999998</v>
      </c>
      <c r="Z185" s="534">
        <v>38.933680000000003</v>
      </c>
      <c r="AA185" s="534">
        <v>43.231990000000003</v>
      </c>
      <c r="AB185" s="534">
        <v>47.817880000000002</v>
      </c>
      <c r="AC185" s="534">
        <v>53.412930000000003</v>
      </c>
      <c r="AD185" s="534">
        <v>60.305120000000002</v>
      </c>
      <c r="AE185" s="534">
        <v>67.890709999999999</v>
      </c>
      <c r="AF185" s="534">
        <v>73.249110000000002</v>
      </c>
    </row>
    <row r="186" spans="1:32">
      <c r="A186" s="22">
        <v>935</v>
      </c>
      <c r="B186" s="22" t="s">
        <v>180</v>
      </c>
      <c r="C186" s="534">
        <v>0.21923709999999999</v>
      </c>
      <c r="D186" s="534">
        <v>0.24976789999999999</v>
      </c>
      <c r="E186" s="534">
        <v>0.29053269999999998</v>
      </c>
      <c r="F186" s="534">
        <v>0.37723990000000002</v>
      </c>
      <c r="G186" s="534">
        <v>0.45577119999999999</v>
      </c>
      <c r="H186" s="534">
        <v>0.43991219999999998</v>
      </c>
      <c r="I186" s="534">
        <v>0.42878539999999998</v>
      </c>
      <c r="J186" s="534">
        <v>0.43040450000000002</v>
      </c>
      <c r="K186" s="534">
        <v>0.45720300000000003</v>
      </c>
      <c r="L186" s="534">
        <v>0.47561730000000002</v>
      </c>
      <c r="M186" s="534">
        <v>0.50951800000000003</v>
      </c>
      <c r="N186" s="534">
        <v>0.58275060000000001</v>
      </c>
      <c r="O186" s="534">
        <v>0.64331070000000001</v>
      </c>
      <c r="P186" s="534">
        <v>0.68671709999999997</v>
      </c>
      <c r="Q186" s="534">
        <v>0.7143176</v>
      </c>
      <c r="R186" s="534">
        <v>0.77510920000000005</v>
      </c>
      <c r="S186" s="534">
        <v>0.78474790000000005</v>
      </c>
      <c r="T186" s="534">
        <v>0.83822099999999999</v>
      </c>
      <c r="U186" s="534">
        <v>0.86569110000000005</v>
      </c>
      <c r="V186" s="534">
        <v>0.86496729999999999</v>
      </c>
      <c r="W186" s="534">
        <v>0.92441720000000005</v>
      </c>
      <c r="X186" s="534">
        <v>0.90304090000000004</v>
      </c>
      <c r="Y186" s="534">
        <v>0.85074660000000002</v>
      </c>
      <c r="Z186" s="534">
        <v>0.88278029999999996</v>
      </c>
      <c r="AA186" s="534">
        <v>0.9617713</v>
      </c>
      <c r="AB186" s="534">
        <v>1.102978</v>
      </c>
      <c r="AC186" s="534">
        <v>1.2246520000000001</v>
      </c>
      <c r="AD186" s="534">
        <v>1.3917930000000001</v>
      </c>
      <c r="AE186" s="534">
        <v>1.517674</v>
      </c>
      <c r="AF186" s="534">
        <v>1.6006309999999999</v>
      </c>
    </row>
    <row r="187" spans="1:32">
      <c r="A187" s="22">
        <v>101</v>
      </c>
      <c r="B187" s="22" t="s">
        <v>24</v>
      </c>
      <c r="C187" s="534">
        <v>60.381570000000004</v>
      </c>
      <c r="D187" s="534">
        <v>66.672039999999996</v>
      </c>
      <c r="E187" s="534">
        <v>67.720860000000002</v>
      </c>
      <c r="F187" s="534">
        <v>65.984300000000005</v>
      </c>
      <c r="G187" s="534">
        <v>73.065569999999994</v>
      </c>
      <c r="H187" s="534">
        <v>74.293719999999993</v>
      </c>
      <c r="I187" s="534">
        <v>70.876769999999993</v>
      </c>
      <c r="J187" s="534">
        <v>79.119860000000003</v>
      </c>
      <c r="K187" s="534">
        <v>82.430279999999996</v>
      </c>
      <c r="L187" s="534">
        <v>83.854910000000004</v>
      </c>
      <c r="M187" s="534">
        <v>97.364729999999994</v>
      </c>
      <c r="N187" s="534">
        <v>101.3493</v>
      </c>
      <c r="O187" s="534">
        <v>109.7574</v>
      </c>
      <c r="P187" s="534">
        <v>108.5856</v>
      </c>
      <c r="Q187" s="534">
        <v>109.0859</v>
      </c>
      <c r="R187" s="534">
        <v>115.3741</v>
      </c>
      <c r="S187" s="534">
        <v>123.2171</v>
      </c>
      <c r="T187" s="534">
        <v>125.611</v>
      </c>
      <c r="U187" s="534">
        <v>117.50790000000001</v>
      </c>
      <c r="V187" s="534">
        <v>120.24509999999999</v>
      </c>
      <c r="W187" s="534">
        <v>141.09889999999999</v>
      </c>
      <c r="X187" s="534">
        <v>142.5224</v>
      </c>
      <c r="Y187" s="534">
        <v>137.32730000000001</v>
      </c>
      <c r="Z187" s="534">
        <v>134.18549999999999</v>
      </c>
      <c r="AA187" s="534">
        <v>174.30850000000001</v>
      </c>
      <c r="AB187" s="534">
        <v>219.27799999999999</v>
      </c>
      <c r="AC187" s="534">
        <v>256.51589999999999</v>
      </c>
      <c r="AD187" s="534">
        <v>285.88490000000002</v>
      </c>
      <c r="AE187" s="534">
        <v>325.60239999999999</v>
      </c>
      <c r="AF187" s="534">
        <v>267.48480000000001</v>
      </c>
    </row>
    <row r="188" spans="1:32">
      <c r="A188" s="22">
        <v>990</v>
      </c>
      <c r="B188" s="22" t="s">
        <v>190</v>
      </c>
      <c r="C188" s="534">
        <v>0.36618519999999999</v>
      </c>
      <c r="D188" s="534">
        <v>0.36425829999999998</v>
      </c>
      <c r="E188" s="534">
        <v>0.38332579999999999</v>
      </c>
      <c r="F188" s="534">
        <v>0.3907294</v>
      </c>
      <c r="G188" s="534">
        <v>0.41382980000000003</v>
      </c>
      <c r="H188" s="534">
        <v>0.44304710000000003</v>
      </c>
      <c r="I188" s="534">
        <v>0.47809000000000001</v>
      </c>
      <c r="J188" s="534">
        <v>0.49708140000000001</v>
      </c>
      <c r="K188" s="534">
        <v>0.50740680000000005</v>
      </c>
      <c r="L188" s="534">
        <v>0.5587782</v>
      </c>
      <c r="M188" s="534">
        <v>0.55413400000000002</v>
      </c>
      <c r="N188" s="534">
        <v>0.55772619999999995</v>
      </c>
      <c r="O188" s="534">
        <v>0.57152460000000005</v>
      </c>
      <c r="P188" s="534">
        <v>0.60864600000000002</v>
      </c>
      <c r="Q188" s="534">
        <v>0.60353820000000002</v>
      </c>
      <c r="R188" s="534">
        <v>0.65076480000000003</v>
      </c>
      <c r="S188" s="534">
        <v>0.71214820000000001</v>
      </c>
      <c r="T188" s="534">
        <v>0.72645720000000003</v>
      </c>
      <c r="U188" s="534">
        <v>0.75206459999999997</v>
      </c>
      <c r="V188" s="534">
        <v>0.78456910000000002</v>
      </c>
      <c r="W188" s="534">
        <v>0.85810430000000004</v>
      </c>
      <c r="X188" s="534">
        <v>0.94688519999999998</v>
      </c>
      <c r="Y188" s="534">
        <v>0.98011859999999995</v>
      </c>
      <c r="Z188" s="534">
        <v>1.0326770000000001</v>
      </c>
      <c r="AA188" s="534">
        <v>1.0987180000000001</v>
      </c>
      <c r="AB188" s="534">
        <v>1.22614</v>
      </c>
      <c r="AC188" s="534">
        <v>1.278497</v>
      </c>
      <c r="AD188" s="534">
        <v>1.4025840000000001</v>
      </c>
      <c r="AE188" s="534">
        <v>1.406325</v>
      </c>
      <c r="AF188" s="534">
        <v>1.3935660000000001</v>
      </c>
    </row>
    <row r="189" spans="1:32">
      <c r="A189" s="22">
        <v>679</v>
      </c>
      <c r="B189" s="22" t="s">
        <v>142</v>
      </c>
      <c r="L189" s="534">
        <v>10.98052</v>
      </c>
      <c r="M189" s="534">
        <v>13.15912</v>
      </c>
      <c r="N189" s="534">
        <v>13.61999</v>
      </c>
      <c r="O189" s="534">
        <v>14.989140000000001</v>
      </c>
      <c r="P189" s="534">
        <v>15.75624</v>
      </c>
      <c r="Q189" s="534">
        <v>16.540430000000001</v>
      </c>
      <c r="R189" s="534">
        <v>20.221979999999999</v>
      </c>
      <c r="S189" s="534">
        <v>25.184100000000001</v>
      </c>
      <c r="T189" s="534">
        <v>26.99136</v>
      </c>
      <c r="U189" s="534">
        <v>28.40436</v>
      </c>
      <c r="V189" s="534">
        <v>29.689309999999999</v>
      </c>
      <c r="W189" s="534">
        <v>32.529339999999998</v>
      </c>
      <c r="X189" s="534">
        <v>34.462130000000002</v>
      </c>
      <c r="Y189" s="534">
        <v>36.269170000000003</v>
      </c>
      <c r="Z189" s="534">
        <v>38.799129999999998</v>
      </c>
      <c r="AA189" s="534">
        <v>41.518079999999998</v>
      </c>
      <c r="AB189" s="534">
        <v>49.247120000000002</v>
      </c>
      <c r="AC189" s="534">
        <v>51.669179999999997</v>
      </c>
      <c r="AD189" s="534">
        <v>55.761429999999997</v>
      </c>
      <c r="AE189" s="534">
        <v>59.804720000000003</v>
      </c>
      <c r="AF189" s="534">
        <v>61.288820000000001</v>
      </c>
    </row>
    <row r="190" spans="1:32">
      <c r="A190" s="22">
        <v>345</v>
      </c>
      <c r="B190" s="22" t="s">
        <v>59</v>
      </c>
      <c r="N190" s="534"/>
      <c r="O190" s="534"/>
      <c r="P190" s="534"/>
      <c r="Q190" s="534"/>
      <c r="R190" s="534"/>
      <c r="S190" s="534"/>
      <c r="T190" s="534"/>
      <c r="U190" s="534"/>
      <c r="V190" s="534"/>
      <c r="W190" s="534"/>
      <c r="X190" s="534"/>
      <c r="Y190" s="534"/>
      <c r="Z190" s="534"/>
      <c r="AA190" s="534"/>
      <c r="AB190" s="534">
        <v>54.713030000000003</v>
      </c>
      <c r="AC190" s="534">
        <v>59.582030000000003</v>
      </c>
      <c r="AD190" s="534">
        <v>65.448269999999994</v>
      </c>
      <c r="AE190" s="534">
        <v>71.279210000000006</v>
      </c>
      <c r="AF190" s="534">
        <v>69.690569999999994</v>
      </c>
    </row>
    <row r="191" spans="1:32">
      <c r="A191" s="22">
        <v>551</v>
      </c>
      <c r="B191" s="22" t="s">
        <v>116</v>
      </c>
      <c r="C191" s="534">
        <v>4.6366160000000001</v>
      </c>
      <c r="D191" s="534">
        <v>4.8596570000000003</v>
      </c>
      <c r="E191" s="534">
        <v>4.4178230000000003</v>
      </c>
      <c r="F191" s="534">
        <v>4.7434779999999996</v>
      </c>
      <c r="G191" s="534">
        <v>5.0251780000000004</v>
      </c>
      <c r="H191" s="534">
        <v>5.4698229999999999</v>
      </c>
      <c r="I191" s="534">
        <v>5.6898679999999997</v>
      </c>
      <c r="J191" s="534">
        <v>6.5225359999999997</v>
      </c>
      <c r="K191" s="534">
        <v>7.34016</v>
      </c>
      <c r="L191" s="534">
        <v>6.3509840000000004</v>
      </c>
      <c r="M191" s="534">
        <v>7.0463979999999999</v>
      </c>
      <c r="N191" s="534">
        <v>7.1546669999999999</v>
      </c>
      <c r="O191" s="534">
        <v>6.53756</v>
      </c>
      <c r="P191" s="534">
        <v>6.3444849999999997</v>
      </c>
      <c r="Q191" s="534">
        <v>6.621022</v>
      </c>
      <c r="R191" s="534">
        <v>6.5970089999999999</v>
      </c>
      <c r="S191" s="534">
        <v>6.517042</v>
      </c>
      <c r="T191" s="534">
        <v>6.8906679999999998</v>
      </c>
      <c r="U191" s="534">
        <v>6.4475069999999999</v>
      </c>
      <c r="V191" s="534">
        <v>6.2294359999999998</v>
      </c>
      <c r="W191" s="534">
        <v>6.8151570000000001</v>
      </c>
      <c r="X191" s="534">
        <v>7.313815</v>
      </c>
      <c r="Y191" s="534">
        <v>8.1780690000000007</v>
      </c>
      <c r="Z191" s="534">
        <v>9.0192289999999993</v>
      </c>
      <c r="AA191" s="534">
        <v>15.09491</v>
      </c>
      <c r="AB191" s="534">
        <v>16.348400000000002</v>
      </c>
      <c r="AC191" s="534">
        <v>19.625640000000001</v>
      </c>
      <c r="AD191" s="534">
        <v>28.14086</v>
      </c>
      <c r="AE191" s="534">
        <v>29.895489999999999</v>
      </c>
      <c r="AF191" s="534">
        <v>30.400069999999999</v>
      </c>
    </row>
    <row r="192" spans="1:32">
      <c r="A192" s="22">
        <v>552</v>
      </c>
      <c r="B192" s="22" t="s">
        <v>117</v>
      </c>
      <c r="C192" s="534">
        <v>0.79462719999999998</v>
      </c>
      <c r="D192" s="534">
        <v>1.0238389999999999</v>
      </c>
      <c r="E192" s="534">
        <v>1.0549139999999999</v>
      </c>
      <c r="F192" s="534">
        <v>1.203721</v>
      </c>
      <c r="G192" s="534">
        <v>1.069639</v>
      </c>
      <c r="H192" s="534">
        <v>1.1355690000000001</v>
      </c>
      <c r="I192" s="534">
        <v>1.165079</v>
      </c>
      <c r="J192" s="534">
        <v>1.1530450000000001</v>
      </c>
      <c r="K192" s="534">
        <v>1.342713</v>
      </c>
      <c r="L192" s="534">
        <v>1.6455900000000001</v>
      </c>
      <c r="M192" s="534">
        <v>1.7967679999999999</v>
      </c>
      <c r="N192" s="534">
        <v>2.125413</v>
      </c>
      <c r="O192" s="534">
        <v>1.75989</v>
      </c>
      <c r="P192" s="534">
        <v>1.8473869999999999</v>
      </c>
      <c r="Q192" s="534">
        <v>2.0273180000000002</v>
      </c>
      <c r="R192" s="534">
        <v>2.1405959999999999</v>
      </c>
      <c r="S192" s="534">
        <v>2.4072749999999998</v>
      </c>
      <c r="T192" s="534">
        <v>2.6043609999999999</v>
      </c>
      <c r="U192" s="534">
        <v>2.698413</v>
      </c>
      <c r="V192" s="534">
        <v>2.654242</v>
      </c>
      <c r="W192" s="534">
        <v>2.563148</v>
      </c>
      <c r="X192" s="534">
        <v>2.2348210000000002</v>
      </c>
      <c r="Y192" s="534">
        <v>1.871926</v>
      </c>
      <c r="Z192" s="534">
        <v>1.750453</v>
      </c>
      <c r="AA192" s="534">
        <v>1.9244110000000001</v>
      </c>
      <c r="AB192" s="534">
        <v>1.9682059999999999</v>
      </c>
      <c r="AC192" s="534">
        <v>2.1323059999999998</v>
      </c>
      <c r="AD192" s="534">
        <v>2.1079370000000002</v>
      </c>
      <c r="AE192" s="534">
        <v>1.7722100000000001</v>
      </c>
      <c r="AF192" s="534">
        <v>1.90605</v>
      </c>
    </row>
  </sheetData>
  <sortState ref="A6:U192">
    <sortCondition ref="B19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6"/>
  <sheetViews>
    <sheetView workbookViewId="0">
      <selection activeCell="C6" sqref="C6"/>
    </sheetView>
  </sheetViews>
  <sheetFormatPr defaultRowHeight="15"/>
  <cols>
    <col min="1" max="2" width="9.140625" style="27"/>
    <col min="3" max="13" width="9.140625" style="534"/>
  </cols>
  <sheetData>
    <row r="1" spans="1:48" s="27" customFormat="1">
      <c r="A1" s="12" t="s">
        <v>434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48" s="27" customFormat="1">
      <c r="A2" s="1" t="s">
        <v>423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</row>
    <row r="3" spans="1:48" s="27" customFormat="1">
      <c r="A3" s="171" t="s">
        <v>439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</row>
    <row r="4" spans="1:48" s="27" customFormat="1"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</row>
    <row r="5" spans="1:48" s="27" customFormat="1">
      <c r="A5" s="22" t="s">
        <v>191</v>
      </c>
      <c r="B5" s="22" t="s">
        <v>192</v>
      </c>
      <c r="C5" s="22">
        <v>1980</v>
      </c>
      <c r="D5" s="22">
        <v>1981</v>
      </c>
      <c r="E5" s="22">
        <v>1982</v>
      </c>
      <c r="F5" s="22">
        <v>1983</v>
      </c>
      <c r="G5" s="22">
        <v>1984</v>
      </c>
      <c r="H5" s="22">
        <v>1985</v>
      </c>
      <c r="I5" s="22">
        <v>1986</v>
      </c>
      <c r="J5" s="22">
        <v>1987</v>
      </c>
      <c r="K5" s="22">
        <v>1988</v>
      </c>
      <c r="L5" s="22">
        <v>1989</v>
      </c>
      <c r="M5" s="22">
        <v>1990</v>
      </c>
      <c r="N5" s="11">
        <v>1991</v>
      </c>
      <c r="O5" s="11">
        <v>1992</v>
      </c>
      <c r="P5" s="11">
        <v>1993</v>
      </c>
      <c r="Q5" s="11">
        <v>1994</v>
      </c>
      <c r="R5" s="11">
        <v>1995</v>
      </c>
      <c r="S5" s="11">
        <v>1996</v>
      </c>
      <c r="T5" s="11">
        <v>1997</v>
      </c>
      <c r="U5" s="11">
        <v>1998</v>
      </c>
      <c r="V5" s="11">
        <v>1999</v>
      </c>
      <c r="W5" s="11">
        <v>2000</v>
      </c>
      <c r="X5" s="11">
        <v>2001</v>
      </c>
      <c r="Y5" s="11">
        <v>2002</v>
      </c>
      <c r="Z5" s="11">
        <v>2003</v>
      </c>
      <c r="AA5" s="11">
        <v>2004</v>
      </c>
      <c r="AB5" s="11">
        <v>2005</v>
      </c>
      <c r="AC5" s="11">
        <v>2006</v>
      </c>
      <c r="AD5" s="11">
        <v>2007</v>
      </c>
      <c r="AE5" s="11">
        <v>2008</v>
      </c>
      <c r="AF5" s="11">
        <v>2009</v>
      </c>
      <c r="AG5" s="11">
        <v>2010</v>
      </c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</row>
    <row r="6" spans="1:48">
      <c r="A6" s="28">
        <v>58</v>
      </c>
      <c r="B6" s="28" t="s">
        <v>13</v>
      </c>
      <c r="C6" s="541">
        <v>269634005.99599546</v>
      </c>
      <c r="D6" s="541">
        <v>280645111.72732478</v>
      </c>
      <c r="E6" s="541">
        <v>281114634.11405438</v>
      </c>
      <c r="F6" s="541">
        <v>294266269.33840168</v>
      </c>
      <c r="G6" s="541">
        <v>322967883.82527769</v>
      </c>
      <c r="H6" s="541">
        <v>348774026.78738904</v>
      </c>
      <c r="I6" s="541">
        <v>393136070.39736032</v>
      </c>
      <c r="J6" s="541">
        <v>425621586.92253661</v>
      </c>
      <c r="K6" s="541">
        <v>448697947.88130945</v>
      </c>
      <c r="L6" s="541">
        <v>474600752.88463682</v>
      </c>
      <c r="M6" s="541">
        <v>486679825.39258337</v>
      </c>
      <c r="N6" s="541">
        <v>496590763.30765843</v>
      </c>
      <c r="O6" s="541">
        <v>500802765.35233182</v>
      </c>
      <c r="P6" s="541">
        <v>527796546.29234648</v>
      </c>
      <c r="Q6" s="541">
        <v>561193531.95228088</v>
      </c>
      <c r="R6" s="541">
        <v>537753473.06640899</v>
      </c>
      <c r="S6" s="541">
        <v>573995698.98616648</v>
      </c>
      <c r="T6" s="541">
        <v>602040241.38976264</v>
      </c>
      <c r="U6" s="541">
        <v>628576196.02057362</v>
      </c>
      <c r="V6" s="541">
        <v>654483626.42483699</v>
      </c>
      <c r="W6" s="541">
        <v>664174062.34433711</v>
      </c>
      <c r="X6" s="541">
        <v>678863208.82789552</v>
      </c>
      <c r="Y6" s="541">
        <v>695992106.99941576</v>
      </c>
      <c r="Z6" s="541">
        <v>731285646.98357201</v>
      </c>
      <c r="AA6" s="541">
        <v>782722977.85392046</v>
      </c>
      <c r="AB6" s="541">
        <v>815503113.26896906</v>
      </c>
      <c r="AC6" s="541">
        <v>923777451.85868335</v>
      </c>
      <c r="AD6" s="541">
        <v>1007617447.128207</v>
      </c>
      <c r="AE6" s="541">
        <v>1009357496.4452816</v>
      </c>
      <c r="AF6" s="541">
        <v>899066910.23419523</v>
      </c>
      <c r="AG6" s="541">
        <v>814439749.79742348</v>
      </c>
    </row>
    <row r="7" spans="1:48">
      <c r="A7" s="22">
        <v>700</v>
      </c>
      <c r="B7" s="22" t="s">
        <v>148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4"/>
      <c r="AF7" s="534"/>
    </row>
    <row r="8" spans="1:48">
      <c r="A8" s="22">
        <v>339</v>
      </c>
      <c r="B8" s="22" t="s">
        <v>56</v>
      </c>
      <c r="C8" s="537">
        <v>2833406778.5645809</v>
      </c>
      <c r="D8" s="537">
        <v>2996203998.4717898</v>
      </c>
      <c r="E8" s="537">
        <v>3084549973.006196</v>
      </c>
      <c r="F8" s="537">
        <v>3118632346.8183799</v>
      </c>
      <c r="G8" s="537">
        <v>3079599648.838716</v>
      </c>
      <c r="H8" s="537">
        <v>3134436353.7913861</v>
      </c>
      <c r="I8" s="537">
        <v>3311132153.5045242</v>
      </c>
      <c r="J8" s="537">
        <v>3285045642.6342778</v>
      </c>
      <c r="K8" s="537">
        <v>3238396691.0657668</v>
      </c>
      <c r="L8" s="537">
        <v>3556943168.2163782</v>
      </c>
      <c r="M8" s="537">
        <v>3216343088.3524451</v>
      </c>
      <c r="N8" s="537">
        <v>2264659406.7710881</v>
      </c>
      <c r="O8" s="537">
        <v>2101603929.4835668</v>
      </c>
      <c r="P8" s="537">
        <v>2303357906.7139955</v>
      </c>
      <c r="Q8" s="537">
        <v>2494536612.9712577</v>
      </c>
      <c r="R8" s="537">
        <v>2826309982.4964328</v>
      </c>
      <c r="S8" s="537">
        <v>3083504202.1847911</v>
      </c>
      <c r="T8" s="537">
        <v>2768986763.4314384</v>
      </c>
      <c r="U8" s="537">
        <v>3120648082.3872313</v>
      </c>
      <c r="V8" s="537">
        <v>3435833538.7083416</v>
      </c>
      <c r="W8" s="537">
        <v>3686649387.0340533</v>
      </c>
      <c r="X8" s="537">
        <v>3944714844.1264338</v>
      </c>
      <c r="Y8" s="537">
        <v>4059111574.606102</v>
      </c>
      <c r="Z8" s="537">
        <v>4290480934.3586488</v>
      </c>
      <c r="AA8" s="537">
        <v>4543619309.4858112</v>
      </c>
      <c r="AB8" s="537">
        <v>4793518371.5075235</v>
      </c>
      <c r="AC8" s="537">
        <v>5033194290.0829029</v>
      </c>
      <c r="AD8" s="537">
        <v>5330152753.1977949</v>
      </c>
      <c r="AE8" s="537">
        <v>5740574515.194025</v>
      </c>
      <c r="AF8" s="537">
        <v>5930013474.1954288</v>
      </c>
      <c r="AG8" s="537">
        <v>6137563945.7922392</v>
      </c>
    </row>
    <row r="9" spans="1:48">
      <c r="A9" s="22">
        <v>615</v>
      </c>
      <c r="B9" s="22" t="s">
        <v>129</v>
      </c>
      <c r="C9" s="538">
        <v>35291232178.486717</v>
      </c>
      <c r="D9" s="538">
        <v>36349967756.133621</v>
      </c>
      <c r="E9" s="538">
        <v>38676367201.213516</v>
      </c>
      <c r="F9" s="538">
        <v>40764892197.176804</v>
      </c>
      <c r="G9" s="538">
        <v>43047724736.928749</v>
      </c>
      <c r="H9" s="538">
        <v>44640489377.980904</v>
      </c>
      <c r="I9" s="538">
        <v>44819051776.712708</v>
      </c>
      <c r="J9" s="538">
        <v>44505319531.558327</v>
      </c>
      <c r="K9" s="538">
        <v>44060263881.067581</v>
      </c>
      <c r="L9" s="538">
        <v>45998916445.43882</v>
      </c>
      <c r="M9" s="538">
        <v>46366908061.660324</v>
      </c>
      <c r="N9" s="538">
        <v>45810504880.262413</v>
      </c>
      <c r="O9" s="538">
        <v>46635095028.458153</v>
      </c>
      <c r="P9" s="538">
        <v>45655757680.596268</v>
      </c>
      <c r="Q9" s="538">
        <v>45244857430.648071</v>
      </c>
      <c r="R9" s="538">
        <v>46964159664.584282</v>
      </c>
      <c r="S9" s="538">
        <v>48889689495.629036</v>
      </c>
      <c r="T9" s="538">
        <v>49427476044.498703</v>
      </c>
      <c r="U9" s="538">
        <v>51948279105.438797</v>
      </c>
      <c r="V9" s="538">
        <v>53610624833.855202</v>
      </c>
      <c r="W9" s="538">
        <v>54790058957.371849</v>
      </c>
      <c r="X9" s="538">
        <v>56214597842.944214</v>
      </c>
      <c r="Y9" s="538">
        <v>58856686556.857872</v>
      </c>
      <c r="Z9" s="538">
        <v>62917798907.7929</v>
      </c>
      <c r="AA9" s="538">
        <v>66189522629.186989</v>
      </c>
      <c r="AB9" s="538">
        <v>69565187810.782516</v>
      </c>
      <c r="AC9" s="538">
        <v>70956491566.998169</v>
      </c>
      <c r="AD9" s="538">
        <v>73085186314.008118</v>
      </c>
      <c r="AE9" s="538">
        <v>74839230785.544296</v>
      </c>
      <c r="AF9" s="538">
        <v>76410854632.040726</v>
      </c>
      <c r="AG9" s="538">
        <v>78708051652.5811</v>
      </c>
    </row>
    <row r="10" spans="1:48" s="534" customFormat="1">
      <c r="A10" s="22">
        <v>232</v>
      </c>
      <c r="B10" s="22" t="s">
        <v>45</v>
      </c>
      <c r="C10" s="539">
        <v>635087337.1665324</v>
      </c>
      <c r="D10" s="539">
        <v>634246045.20142889</v>
      </c>
      <c r="E10" s="539">
        <v>642151679.44868493</v>
      </c>
      <c r="F10" s="539">
        <v>653518507.83236134</v>
      </c>
      <c r="G10" s="539">
        <v>665181771.40396059</v>
      </c>
      <c r="H10" s="539">
        <v>680623539.53723907</v>
      </c>
      <c r="I10" s="539">
        <v>702766412.71542764</v>
      </c>
      <c r="J10" s="539">
        <v>741749727.1745249</v>
      </c>
      <c r="K10" s="539">
        <v>779536863.2632668</v>
      </c>
      <c r="L10" s="539">
        <v>817165343.67872036</v>
      </c>
      <c r="M10" s="539">
        <v>848065580.68793571</v>
      </c>
      <c r="N10" s="539">
        <v>869657335.80758834</v>
      </c>
      <c r="O10" s="539">
        <v>877738325.54947317</v>
      </c>
      <c r="P10" s="539">
        <v>868684527.45184267</v>
      </c>
      <c r="Q10" s="539">
        <v>889386976.08640969</v>
      </c>
      <c r="R10" s="539">
        <v>913911768.38664281</v>
      </c>
      <c r="S10" s="539">
        <v>956406307.34728742</v>
      </c>
      <c r="T10" s="539">
        <v>1043130113.0688306</v>
      </c>
      <c r="U10" s="539">
        <v>1076455908.3779364</v>
      </c>
      <c r="V10" s="539">
        <v>1120580709.58425</v>
      </c>
      <c r="W10" s="539">
        <v>1133644294.5424957</v>
      </c>
      <c r="X10" s="539">
        <v>1267077319.9762645</v>
      </c>
      <c r="Y10" s="539">
        <v>1341509272.2273915</v>
      </c>
      <c r="Z10" s="539">
        <v>1432119979.3317604</v>
      </c>
      <c r="AA10" s="539">
        <v>1524990240.6253886</v>
      </c>
      <c r="AB10" s="539">
        <v>1615237069.2547612</v>
      </c>
      <c r="AC10" s="539">
        <v>1724910618.7345603</v>
      </c>
      <c r="AD10" s="539">
        <v>1749543575.6836436</v>
      </c>
      <c r="AE10" s="539">
        <v>1812015178.7243004</v>
      </c>
      <c r="AF10" s="539"/>
      <c r="AG10" s="539"/>
    </row>
    <row r="11" spans="1:48">
      <c r="A11" s="22">
        <v>540</v>
      </c>
      <c r="B11" s="22" t="s">
        <v>114</v>
      </c>
      <c r="C11" s="540"/>
      <c r="D11" s="540"/>
      <c r="E11" s="540"/>
      <c r="F11" s="540"/>
      <c r="G11" s="540"/>
      <c r="H11" s="540">
        <v>7218737860.1535244</v>
      </c>
      <c r="I11" s="540">
        <v>7420862520.2378139</v>
      </c>
      <c r="J11" s="540">
        <v>8007110659.3366356</v>
      </c>
      <c r="K11" s="540">
        <v>8455508856.2594452</v>
      </c>
      <c r="L11" s="540">
        <v>8489330891.6844864</v>
      </c>
      <c r="M11" s="540">
        <v>8463862899.0094442</v>
      </c>
      <c r="N11" s="540">
        <v>8362296544.2213402</v>
      </c>
      <c r="O11" s="540">
        <v>7785298082.6700735</v>
      </c>
      <c r="P11" s="540">
        <v>5862329456.2505627</v>
      </c>
      <c r="Q11" s="540">
        <v>6067510987.2193193</v>
      </c>
      <c r="R11" s="540">
        <v>6698532129.8901224</v>
      </c>
      <c r="S11" s="540">
        <v>7448767728.4378319</v>
      </c>
      <c r="T11" s="540">
        <v>8037220378.9844217</v>
      </c>
      <c r="U11" s="540">
        <v>8584134106.3580446</v>
      </c>
      <c r="V11" s="540">
        <v>8862242854.9228458</v>
      </c>
      <c r="W11" s="540">
        <v>9129180360.5218601</v>
      </c>
      <c r="X11" s="540">
        <v>9416016123.8920326</v>
      </c>
      <c r="Y11" s="540">
        <v>10780448533.68733</v>
      </c>
      <c r="Z11" s="540">
        <v>11137095732.432055</v>
      </c>
      <c r="AA11" s="540">
        <v>12382535738.554689</v>
      </c>
      <c r="AB11" s="540">
        <v>14934977575.05843</v>
      </c>
      <c r="AC11" s="540">
        <v>17707408100.863873</v>
      </c>
      <c r="AD11" s="540">
        <v>21726989739.759968</v>
      </c>
      <c r="AE11" s="540">
        <v>24725314323.84684</v>
      </c>
      <c r="AF11" s="540">
        <v>25318721867.619164</v>
      </c>
      <c r="AG11" s="540">
        <v>25901052470.574402</v>
      </c>
    </row>
    <row r="12" spans="1:48">
      <c r="A12" s="22">
        <v>160</v>
      </c>
      <c r="B12" s="22" t="s">
        <v>33</v>
      </c>
      <c r="C12" s="542">
        <v>212127318773.80228</v>
      </c>
      <c r="D12" s="542">
        <v>200058275576.19382</v>
      </c>
      <c r="E12" s="542">
        <v>190141029714.57986</v>
      </c>
      <c r="F12" s="542">
        <v>197509229313.40372</v>
      </c>
      <c r="G12" s="542">
        <v>201877686114.39331</v>
      </c>
      <c r="H12" s="542">
        <v>186561877750.35492</v>
      </c>
      <c r="I12" s="542">
        <v>201255080489.85352</v>
      </c>
      <c r="J12" s="542">
        <v>207111589518.34631</v>
      </c>
      <c r="K12" s="542">
        <v>201815943167.57764</v>
      </c>
      <c r="L12" s="542">
        <v>186687437478.6283</v>
      </c>
      <c r="M12" s="542">
        <v>182208881976.73572</v>
      </c>
      <c r="N12" s="542">
        <v>205294219093.90024</v>
      </c>
      <c r="O12" s="542">
        <v>229807939326.39404</v>
      </c>
      <c r="P12" s="542">
        <v>243382509292.534</v>
      </c>
      <c r="Q12" s="542">
        <v>257586800996.26898</v>
      </c>
      <c r="R12" s="542">
        <v>250257916577.1571</v>
      </c>
      <c r="S12" s="542">
        <v>264088895397.01004</v>
      </c>
      <c r="T12" s="542">
        <v>285509269184.29193</v>
      </c>
      <c r="U12" s="542">
        <v>296501886735.8443</v>
      </c>
      <c r="V12" s="542">
        <v>286463942700.2746</v>
      </c>
      <c r="W12" s="542">
        <v>284203745280</v>
      </c>
      <c r="X12" s="542">
        <v>271673657735.94989</v>
      </c>
      <c r="Y12" s="542">
        <v>242076212334.26392</v>
      </c>
      <c r="Z12" s="542">
        <v>263468585945.26111</v>
      </c>
      <c r="AA12" s="542">
        <v>287258675093.51862</v>
      </c>
      <c r="AB12" s="542">
        <v>313626005874.33893</v>
      </c>
      <c r="AC12" s="542">
        <v>340177780212.11432</v>
      </c>
      <c r="AD12" s="542">
        <v>369614509410.54565</v>
      </c>
      <c r="AE12" s="542">
        <v>394594682114.83179</v>
      </c>
      <c r="AF12" s="542">
        <v>397949689763.30151</v>
      </c>
      <c r="AG12" s="542">
        <v>434405530243.88702</v>
      </c>
    </row>
    <row r="13" spans="1:48">
      <c r="A13" s="22">
        <v>371</v>
      </c>
      <c r="B13" s="22" t="s">
        <v>73</v>
      </c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>
        <v>2819375628.5382166</v>
      </c>
      <c r="N13" s="543">
        <v>2489508722.8043485</v>
      </c>
      <c r="O13" s="543">
        <v>1448894008.2464547</v>
      </c>
      <c r="P13" s="543">
        <v>1321391353.0177433</v>
      </c>
      <c r="Q13" s="543">
        <v>1392746522.9493308</v>
      </c>
      <c r="R13" s="543">
        <v>1488846010.8491678</v>
      </c>
      <c r="S13" s="543">
        <v>1576172795.9091525</v>
      </c>
      <c r="T13" s="543">
        <v>1628518750.6051733</v>
      </c>
      <c r="U13" s="543">
        <v>1747400619.3993509</v>
      </c>
      <c r="V13" s="543">
        <v>1805064839.8395298</v>
      </c>
      <c r="W13" s="543">
        <v>1911563665.3900604</v>
      </c>
      <c r="X13" s="543">
        <v>2095073777.267508</v>
      </c>
      <c r="Y13" s="543">
        <v>2371336501.9065361</v>
      </c>
      <c r="Z13" s="543">
        <v>2703323612.1734467</v>
      </c>
      <c r="AA13" s="543">
        <v>2987172591.4516511</v>
      </c>
      <c r="AB13" s="543">
        <v>3402389581.6634321</v>
      </c>
      <c r="AC13" s="543">
        <v>3851505006.4430285</v>
      </c>
      <c r="AD13" s="543">
        <v>4381056208.216157</v>
      </c>
      <c r="AE13" s="543">
        <v>4683410140.4484663</v>
      </c>
      <c r="AF13" s="543">
        <v>4015151319.8986063</v>
      </c>
      <c r="AG13" s="543">
        <v>4053319790.3989205</v>
      </c>
    </row>
    <row r="14" spans="1:48">
      <c r="A14" s="22">
        <v>900</v>
      </c>
      <c r="B14" s="22" t="s">
        <v>177</v>
      </c>
      <c r="C14" s="544">
        <v>215359417290.85034</v>
      </c>
      <c r="D14" s="544">
        <v>222689429967.22794</v>
      </c>
      <c r="E14" s="544">
        <v>229849105017.69269</v>
      </c>
      <c r="F14" s="544">
        <v>224528343692.13623</v>
      </c>
      <c r="G14" s="544">
        <v>234958318001.38965</v>
      </c>
      <c r="H14" s="544">
        <v>247061447378.07709</v>
      </c>
      <c r="I14" s="544">
        <v>258806959319.71634</v>
      </c>
      <c r="J14" s="544">
        <v>264129552232.64816</v>
      </c>
      <c r="K14" s="544">
        <v>278286806850.85419</v>
      </c>
      <c r="L14" s="544">
        <v>290711837708.76929</v>
      </c>
      <c r="M14" s="544">
        <v>299282750831.98492</v>
      </c>
      <c r="N14" s="544">
        <v>298432894289.7962</v>
      </c>
      <c r="O14" s="544">
        <v>300173360193.27643</v>
      </c>
      <c r="P14" s="544">
        <v>312183536510.66199</v>
      </c>
      <c r="Q14" s="544">
        <v>324176770644.82501</v>
      </c>
      <c r="R14" s="544">
        <v>337408157844.763</v>
      </c>
      <c r="S14" s="544">
        <v>351511838532.2384</v>
      </c>
      <c r="T14" s="544">
        <v>365220812140.3136</v>
      </c>
      <c r="U14" s="544">
        <v>381400139220.96857</v>
      </c>
      <c r="V14" s="544">
        <v>401080545569.7135</v>
      </c>
      <c r="W14" s="544">
        <v>416923318470.13751</v>
      </c>
      <c r="X14" s="544">
        <v>425178282771.09546</v>
      </c>
      <c r="Y14" s="544">
        <v>441462468228.99249</v>
      </c>
      <c r="Z14" s="544">
        <v>455412753473.77753</v>
      </c>
      <c r="AA14" s="544">
        <v>474266656019.37012</v>
      </c>
      <c r="AB14" s="544">
        <v>487736149578.11096</v>
      </c>
      <c r="AC14" s="544">
        <v>502709376372.06067</v>
      </c>
      <c r="AD14" s="544">
        <v>521661726739.08142</v>
      </c>
      <c r="AE14" s="544">
        <v>541119595221.71442</v>
      </c>
      <c r="AF14" s="544">
        <v>548100690503.07709</v>
      </c>
      <c r="AG14" s="544"/>
    </row>
    <row r="15" spans="1:48">
      <c r="A15" s="22">
        <v>305</v>
      </c>
      <c r="B15" s="22" t="s">
        <v>49</v>
      </c>
      <c r="C15" s="545">
        <v>120300364566.05861</v>
      </c>
      <c r="D15" s="545">
        <v>120126918186.84357</v>
      </c>
      <c r="E15" s="545">
        <v>122465788372.95007</v>
      </c>
      <c r="F15" s="545">
        <v>126081976414.22517</v>
      </c>
      <c r="G15" s="545">
        <v>126158480560.16216</v>
      </c>
      <c r="H15" s="545">
        <v>129257279528.28452</v>
      </c>
      <c r="I15" s="545">
        <v>132251679749.40115</v>
      </c>
      <c r="J15" s="545">
        <v>134032296941.21985</v>
      </c>
      <c r="K15" s="545">
        <v>137877636078.86496</v>
      </c>
      <c r="L15" s="545">
        <v>143036431914.50159</v>
      </c>
      <c r="M15" s="545">
        <v>149002260825.50214</v>
      </c>
      <c r="N15" s="545">
        <v>153976337110.74258</v>
      </c>
      <c r="O15" s="545">
        <v>156883092961.12033</v>
      </c>
      <c r="P15" s="545">
        <v>157470350746.26868</v>
      </c>
      <c r="Q15" s="545">
        <v>160955058319.51355</v>
      </c>
      <c r="R15" s="545">
        <v>165041890547.2637</v>
      </c>
      <c r="S15" s="545">
        <v>168722184540.26166</v>
      </c>
      <c r="T15" s="545">
        <v>172308566242.85977</v>
      </c>
      <c r="U15" s="545">
        <v>178503451814.99905</v>
      </c>
      <c r="V15" s="545">
        <v>184465441772.61838</v>
      </c>
      <c r="W15" s="545">
        <v>191200302192.74002</v>
      </c>
      <c r="X15" s="545">
        <v>192194723604.20123</v>
      </c>
      <c r="Y15" s="545">
        <v>195360966832.50415</v>
      </c>
      <c r="Z15" s="545">
        <v>196926018610.65045</v>
      </c>
      <c r="AA15" s="545">
        <v>201936969688.59406</v>
      </c>
      <c r="AB15" s="545">
        <v>206904256679.56512</v>
      </c>
      <c r="AC15" s="545">
        <v>214349744333.88611</v>
      </c>
      <c r="AD15" s="545">
        <v>222343798599.59464</v>
      </c>
      <c r="AE15" s="545">
        <v>227188242583.37939</v>
      </c>
      <c r="AF15" s="545">
        <v>218354635526.07333</v>
      </c>
      <c r="AG15" s="545">
        <v>222637577390.82364</v>
      </c>
    </row>
    <row r="16" spans="1:48">
      <c r="A16" s="22">
        <v>373</v>
      </c>
      <c r="B16" s="22" t="s">
        <v>75</v>
      </c>
      <c r="C16" s="546"/>
      <c r="D16" s="546"/>
      <c r="E16" s="546"/>
      <c r="F16" s="546"/>
      <c r="G16" s="546"/>
      <c r="H16" s="546"/>
      <c r="I16" s="546"/>
      <c r="J16" s="546"/>
      <c r="K16" s="546"/>
      <c r="L16" s="546">
        <v>10140484842.494623</v>
      </c>
      <c r="M16" s="546">
        <v>8954048115.9227943</v>
      </c>
      <c r="N16" s="546">
        <v>8891369779.1113338</v>
      </c>
      <c r="O16" s="546">
        <v>6881920209.0321741</v>
      </c>
      <c r="P16" s="546">
        <v>5292196640.7457428</v>
      </c>
      <c r="Q16" s="546">
        <v>4249633902.5188355</v>
      </c>
      <c r="R16" s="546">
        <v>3748177102.0216107</v>
      </c>
      <c r="S16" s="546">
        <v>3796903404.347887</v>
      </c>
      <c r="T16" s="546">
        <v>4017123801.8000708</v>
      </c>
      <c r="U16" s="546">
        <v>4418836181.9800692</v>
      </c>
      <c r="V16" s="546">
        <v>4745830059.4465961</v>
      </c>
      <c r="W16" s="546">
        <v>5272617196.0451736</v>
      </c>
      <c r="X16" s="546">
        <v>5794606298.453639</v>
      </c>
      <c r="Y16" s="546">
        <v>6408834566.0897236</v>
      </c>
      <c r="Z16" s="546">
        <v>7126624037.4917774</v>
      </c>
      <c r="AA16" s="546">
        <v>7853539689.3159389</v>
      </c>
      <c r="AB16" s="546">
        <v>9926874167.2953472</v>
      </c>
      <c r="AC16" s="546">
        <v>13351645755.012241</v>
      </c>
      <c r="AD16" s="546">
        <v>16696099500.185291</v>
      </c>
      <c r="AE16" s="546">
        <v>18499278246.205273</v>
      </c>
      <c r="AF16" s="546">
        <v>20219711123.102345</v>
      </c>
      <c r="AG16" s="546">
        <v>21230787904.316792</v>
      </c>
    </row>
    <row r="17" spans="1:33">
      <c r="A17" s="22">
        <v>692</v>
      </c>
      <c r="B17" s="22" t="s">
        <v>144</v>
      </c>
      <c r="C17" s="548">
        <v>3983298875.2788701</v>
      </c>
      <c r="D17" s="548">
        <v>3771518971.9994879</v>
      </c>
      <c r="E17" s="548">
        <v>3486534795.1486697</v>
      </c>
      <c r="F17" s="548">
        <v>3708849408.7841601</v>
      </c>
      <c r="G17" s="548">
        <v>3894427038.0220485</v>
      </c>
      <c r="H17" s="548">
        <v>3709119795.5341425</v>
      </c>
      <c r="I17" s="548">
        <v>3752998516.9149861</v>
      </c>
      <c r="J17" s="548">
        <v>4143273092.1772718</v>
      </c>
      <c r="K17" s="548">
        <v>4433301952.7649813</v>
      </c>
      <c r="L17" s="548">
        <v>4449439408.5133162</v>
      </c>
      <c r="M17" s="548">
        <v>4646905410.6727638</v>
      </c>
      <c r="N17" s="548">
        <v>5168752875.4289274</v>
      </c>
      <c r="O17" s="548">
        <v>5514542260.8199997</v>
      </c>
      <c r="P17" s="548">
        <v>6224264259.1364765</v>
      </c>
      <c r="Q17" s="548">
        <v>6208703536.251276</v>
      </c>
      <c r="R17" s="548">
        <v>6452705103.5087891</v>
      </c>
      <c r="S17" s="548">
        <v>6717911630.6166172</v>
      </c>
      <c r="T17" s="548">
        <v>6925696586.9531584</v>
      </c>
      <c r="U17" s="548">
        <v>7257437617.2907753</v>
      </c>
      <c r="V17" s="548">
        <v>7569507492.9224806</v>
      </c>
      <c r="W17" s="548">
        <v>7970690894.2230759</v>
      </c>
      <c r="X17" s="548">
        <v>8337342675.357338</v>
      </c>
      <c r="Y17" s="548">
        <v>8775886900.0811329</v>
      </c>
      <c r="Z17" s="548">
        <v>9407750756.8869743</v>
      </c>
      <c r="AA17" s="548">
        <v>9934584799.272646</v>
      </c>
      <c r="AB17" s="548">
        <v>10709482413.615913</v>
      </c>
      <c r="AC17" s="548">
        <v>11427017735.328178</v>
      </c>
      <c r="AD17" s="548">
        <v>12380031014.454548</v>
      </c>
      <c r="AE17" s="548">
        <v>13159972968.365183</v>
      </c>
      <c r="AF17" s="548"/>
      <c r="AG17" s="548"/>
    </row>
    <row r="18" spans="1:33">
      <c r="A18" s="22">
        <v>53</v>
      </c>
      <c r="B18" s="22" t="s">
        <v>8</v>
      </c>
      <c r="C18" s="550">
        <v>1955993038.7877104</v>
      </c>
      <c r="D18" s="550">
        <v>1893271872.9326997</v>
      </c>
      <c r="E18" s="550">
        <v>1798435850.1537392</v>
      </c>
      <c r="F18" s="550">
        <v>1801668965.356493</v>
      </c>
      <c r="G18" s="550">
        <v>1862234629.1141307</v>
      </c>
      <c r="H18" s="550">
        <v>1871718231.3920269</v>
      </c>
      <c r="I18" s="550">
        <v>2048242624.58179</v>
      </c>
      <c r="J18" s="550">
        <v>2069149587.9045894</v>
      </c>
      <c r="K18" s="550">
        <v>2198471437.1486263</v>
      </c>
      <c r="L18" s="550">
        <v>2309257154.6676846</v>
      </c>
      <c r="M18" s="550">
        <v>2198255969.7048726</v>
      </c>
      <c r="N18" s="550">
        <v>2134241585.3574216</v>
      </c>
      <c r="O18" s="550">
        <v>2027982063.5902517</v>
      </c>
      <c r="P18" s="550">
        <v>2048027019.1947305</v>
      </c>
      <c r="Q18" s="550">
        <v>2129432329.9419081</v>
      </c>
      <c r="R18" s="550">
        <v>2161163704.4755659</v>
      </c>
      <c r="S18" s="550">
        <v>2200799782.2082429</v>
      </c>
      <c r="T18" s="550">
        <v>2341534922.6358557</v>
      </c>
      <c r="U18" s="550">
        <v>2437827350.8380895</v>
      </c>
      <c r="V18" s="550">
        <v>2501031835.5510082</v>
      </c>
      <c r="W18" s="550">
        <v>2558850048</v>
      </c>
      <c r="X18" s="550">
        <v>2429524573.3361392</v>
      </c>
      <c r="Y18" s="550">
        <v>2343386638.9893427</v>
      </c>
      <c r="Z18" s="550">
        <v>2390441630.8979945</v>
      </c>
      <c r="AA18" s="550">
        <v>2478549703.362072</v>
      </c>
      <c r="AB18" s="550">
        <v>2557427999.4102392</v>
      </c>
      <c r="AC18" s="550">
        <v>2644872131.7827578</v>
      </c>
      <c r="AD18" s="550">
        <v>2657506213.1650343</v>
      </c>
      <c r="AE18" s="550">
        <v>2662289724.616641</v>
      </c>
      <c r="AF18" s="550">
        <v>2521188368.5959449</v>
      </c>
      <c r="AG18" s="550"/>
    </row>
    <row r="19" spans="1:33">
      <c r="A19" s="22">
        <v>211</v>
      </c>
      <c r="B19" s="22" t="s">
        <v>38</v>
      </c>
      <c r="C19" s="552">
        <v>152858242491.24744</v>
      </c>
      <c r="D19" s="552">
        <v>152431334438.9165</v>
      </c>
      <c r="E19" s="552">
        <v>153338281002.39542</v>
      </c>
      <c r="F19" s="552">
        <v>153816455223.88058</v>
      </c>
      <c r="G19" s="552">
        <v>157610157637.73721</v>
      </c>
      <c r="H19" s="552">
        <v>160213550948.95889</v>
      </c>
      <c r="I19" s="552">
        <v>163133862815.55188</v>
      </c>
      <c r="J19" s="552">
        <v>166896805509.48959</v>
      </c>
      <c r="K19" s="552">
        <v>174779690252.44153</v>
      </c>
      <c r="L19" s="552">
        <v>180843089275.84305</v>
      </c>
      <c r="M19" s="552">
        <v>186516864750.32251</v>
      </c>
      <c r="N19" s="552">
        <v>189935857471.89981</v>
      </c>
      <c r="O19" s="552">
        <v>192843119863.64478</v>
      </c>
      <c r="P19" s="552">
        <v>190988213746.08444</v>
      </c>
      <c r="Q19" s="552">
        <v>197151348903.63004</v>
      </c>
      <c r="R19" s="552">
        <v>201852929979.73102</v>
      </c>
      <c r="S19" s="552">
        <v>204692786530.31143</v>
      </c>
      <c r="T19" s="552">
        <v>212355656992.81372</v>
      </c>
      <c r="U19" s="552">
        <v>216451020913.94879</v>
      </c>
      <c r="V19" s="552">
        <v>224120110650.45148</v>
      </c>
      <c r="W19" s="552">
        <v>232371475953.56552</v>
      </c>
      <c r="X19" s="552">
        <v>234198375161.2309</v>
      </c>
      <c r="Y19" s="552">
        <v>237399724525.52057</v>
      </c>
      <c r="Z19" s="552">
        <v>239264716602.17438</v>
      </c>
      <c r="AA19" s="552">
        <v>247003772710.52155</v>
      </c>
      <c r="AB19" s="552">
        <v>251239846692.46368</v>
      </c>
      <c r="AC19" s="552">
        <v>258002483508.38406</v>
      </c>
      <c r="AD19" s="552">
        <v>265542524138.56647</v>
      </c>
      <c r="AE19" s="552">
        <v>268209019624.10172</v>
      </c>
      <c r="AF19" s="552">
        <v>260833011147.9639</v>
      </c>
      <c r="AG19" s="552">
        <v>266511169430.62466</v>
      </c>
    </row>
    <row r="20" spans="1:33">
      <c r="A20" s="22">
        <v>434</v>
      </c>
      <c r="B20" s="22" t="s">
        <v>88</v>
      </c>
      <c r="C20" s="554">
        <v>1084256207.6288228</v>
      </c>
      <c r="D20" s="554">
        <v>1192185577.1072471</v>
      </c>
      <c r="E20" s="554">
        <v>1218831715.4602544</v>
      </c>
      <c r="F20" s="554">
        <v>1165839073.2111378</v>
      </c>
      <c r="G20" s="554">
        <v>1258288241.3560331</v>
      </c>
      <c r="H20" s="554">
        <v>1353041433.3216267</v>
      </c>
      <c r="I20" s="554">
        <v>1382417878.5951149</v>
      </c>
      <c r="J20" s="554">
        <v>1361681569.8357735</v>
      </c>
      <c r="K20" s="554">
        <v>1408050167.1936471</v>
      </c>
      <c r="L20" s="554">
        <v>1367862155.7308071</v>
      </c>
      <c r="M20" s="554">
        <v>1411814142.2106345</v>
      </c>
      <c r="N20" s="554">
        <v>1478487197.2176864</v>
      </c>
      <c r="O20" s="554">
        <v>1537774239.2689292</v>
      </c>
      <c r="P20" s="554">
        <v>1591893790.1951554</v>
      </c>
      <c r="Q20" s="554">
        <v>1661498638.6000042</v>
      </c>
      <c r="R20" s="554">
        <v>1737998382.5705209</v>
      </c>
      <c r="S20" s="554">
        <v>1834412162.8522038</v>
      </c>
      <c r="T20" s="554">
        <v>1947193116.2819688</v>
      </c>
      <c r="U20" s="554">
        <v>2035610256.7491429</v>
      </c>
      <c r="V20" s="554">
        <v>2131227490.0882366</v>
      </c>
      <c r="W20" s="554">
        <v>2254838684.5133543</v>
      </c>
      <c r="X20" s="554">
        <v>2367580618.7390223</v>
      </c>
      <c r="Y20" s="554">
        <v>2474121746.5822783</v>
      </c>
      <c r="Z20" s="554">
        <v>2570612494.698987</v>
      </c>
      <c r="AA20" s="554">
        <v>2650301482.0346556</v>
      </c>
      <c r="AB20" s="554">
        <v>2727160225.01366</v>
      </c>
      <c r="AC20" s="554">
        <v>2838973721.0289855</v>
      </c>
      <c r="AD20" s="554">
        <v>2969566512.1963191</v>
      </c>
      <c r="AE20" s="554">
        <v>3121014404.3183312</v>
      </c>
      <c r="AF20" s="554">
        <v>3239612951.6824279</v>
      </c>
      <c r="AG20" s="554">
        <v>3336801340.2328887</v>
      </c>
    </row>
    <row r="21" spans="1:33">
      <c r="A21" s="22">
        <v>439</v>
      </c>
      <c r="B21" s="22" t="s">
        <v>93</v>
      </c>
      <c r="C21" s="562">
        <v>1100637951.8432207</v>
      </c>
      <c r="D21" s="562">
        <v>1147473436.0413995</v>
      </c>
      <c r="E21" s="562">
        <v>1257197102.0899675</v>
      </c>
      <c r="F21" s="562">
        <v>1261546812.1835518</v>
      </c>
      <c r="G21" s="562">
        <v>1239107720.912302</v>
      </c>
      <c r="H21" s="562">
        <v>1344647048.2197149</v>
      </c>
      <c r="I21" s="562">
        <v>1451618598.2471523</v>
      </c>
      <c r="J21" s="562">
        <v>1448187889.4350197</v>
      </c>
      <c r="K21" s="562">
        <v>1532118964.9041038</v>
      </c>
      <c r="L21" s="562">
        <v>1565063617.559221</v>
      </c>
      <c r="M21" s="562">
        <v>1555627403.2785811</v>
      </c>
      <c r="N21" s="562">
        <v>1696722567.0259354</v>
      </c>
      <c r="O21" s="562">
        <v>1700671023.0388858</v>
      </c>
      <c r="P21" s="562">
        <v>1759537793.5889368</v>
      </c>
      <c r="Q21" s="562">
        <v>1782675843.5812907</v>
      </c>
      <c r="R21" s="562">
        <v>1884580259.6840806</v>
      </c>
      <c r="S21" s="562">
        <v>2092161948.3275084</v>
      </c>
      <c r="T21" s="562">
        <v>2224320360.9155712</v>
      </c>
      <c r="U21" s="562">
        <v>2386867456.673315</v>
      </c>
      <c r="V21" s="562">
        <v>2563595394.8187742</v>
      </c>
      <c r="W21" s="562">
        <v>2610945548.6994443</v>
      </c>
      <c r="X21" s="562">
        <v>2784535504.3347716</v>
      </c>
      <c r="Y21" s="562">
        <v>2915395385.2195244</v>
      </c>
      <c r="Z21" s="562">
        <v>3149921832.9947457</v>
      </c>
      <c r="AA21" s="562">
        <v>3295911699.125217</v>
      </c>
      <c r="AB21" s="562">
        <v>3505297329.5509648</v>
      </c>
      <c r="AC21" s="562">
        <v>3698258219.2105584</v>
      </c>
      <c r="AD21" s="562">
        <v>3831292260.1017027</v>
      </c>
      <c r="AE21" s="562">
        <v>4022856804.0491362</v>
      </c>
      <c r="AF21" s="562">
        <v>4163655687.2684331</v>
      </c>
      <c r="AG21" s="562">
        <v>4548468400.7054596</v>
      </c>
    </row>
    <row r="22" spans="1:33">
      <c r="A22" s="22">
        <v>31</v>
      </c>
      <c r="B22" s="22" t="s">
        <v>2</v>
      </c>
      <c r="C22" s="547">
        <v>3243113533.0348349</v>
      </c>
      <c r="D22" s="547">
        <v>2943890735.2078581</v>
      </c>
      <c r="E22" s="547">
        <v>3141098988.8354945</v>
      </c>
      <c r="F22" s="547">
        <v>3254085932.7171645</v>
      </c>
      <c r="G22" s="547">
        <v>3715227353.8643389</v>
      </c>
      <c r="H22" s="547">
        <v>3894642373.0386024</v>
      </c>
      <c r="I22" s="547">
        <v>3964629095.2218709</v>
      </c>
      <c r="J22" s="547">
        <v>4082954199.2340541</v>
      </c>
      <c r="K22" s="547">
        <v>4177258531.6314335</v>
      </c>
      <c r="L22" s="547">
        <v>4458276430.5582514</v>
      </c>
      <c r="M22" s="547">
        <v>4387111226.3075962</v>
      </c>
      <c r="N22" s="547">
        <v>4203651734.5066872</v>
      </c>
      <c r="O22" s="547">
        <v>4042837559.2662673</v>
      </c>
      <c r="P22" s="547">
        <v>4055281674.1542215</v>
      </c>
      <c r="Q22" s="547">
        <v>4182979100.6537352</v>
      </c>
      <c r="R22" s="547">
        <v>4366141338.8959751</v>
      </c>
      <c r="S22" s="547">
        <v>4389099827.9681358</v>
      </c>
      <c r="T22" s="547">
        <v>4735838714.3776188</v>
      </c>
      <c r="U22" s="547">
        <v>4958423133.9533663</v>
      </c>
      <c r="V22" s="547">
        <v>5310471176.4640551</v>
      </c>
      <c r="W22" s="547">
        <v>5528200494.6990805</v>
      </c>
      <c r="X22" s="547">
        <v>5671933707.5612564</v>
      </c>
      <c r="Y22" s="547">
        <v>5825075917.66541</v>
      </c>
      <c r="Z22" s="547">
        <v>5749349930.7357597</v>
      </c>
      <c r="AA22" s="547">
        <v>5801094080.112381</v>
      </c>
      <c r="AB22" s="547">
        <v>5998331278.8362017</v>
      </c>
      <c r="AC22" s="547">
        <v>5825212144.8495789</v>
      </c>
      <c r="AD22" s="547">
        <v>5906765114.8774729</v>
      </c>
      <c r="AE22" s="547">
        <v>5829977168.3840656</v>
      </c>
      <c r="AF22" s="547">
        <v>5515158401.2913256</v>
      </c>
      <c r="AG22" s="547">
        <v>5564794826.9029465</v>
      </c>
    </row>
    <row r="23" spans="1:33">
      <c r="A23" s="22">
        <v>760</v>
      </c>
      <c r="B23" s="22" t="s">
        <v>161</v>
      </c>
      <c r="C23" s="555"/>
      <c r="D23" s="555">
        <v>115128647.04500969</v>
      </c>
      <c r="E23" s="555">
        <v>124563583.67330763</v>
      </c>
      <c r="F23" s="555">
        <v>133702372.50187077</v>
      </c>
      <c r="G23" s="555">
        <v>143885322.45114169</v>
      </c>
      <c r="H23" s="555">
        <v>150142926.49748954</v>
      </c>
      <c r="I23" s="555">
        <v>162085319.77150273</v>
      </c>
      <c r="J23" s="555">
        <v>194873231.6341534</v>
      </c>
      <c r="K23" s="555">
        <v>224258402.53617656</v>
      </c>
      <c r="L23" s="555">
        <v>238148537.88934609</v>
      </c>
      <c r="M23" s="555">
        <v>259814622.19750652</v>
      </c>
      <c r="N23" s="555">
        <v>272535249.14604956</v>
      </c>
      <c r="O23" s="555">
        <v>278212050.35840338</v>
      </c>
      <c r="P23" s="555">
        <v>287093618.68441999</v>
      </c>
      <c r="Q23" s="555">
        <v>297172074.99177051</v>
      </c>
      <c r="R23" s="555">
        <v>315112476.45882463</v>
      </c>
      <c r="S23" s="555">
        <v>334630530.81710505</v>
      </c>
      <c r="T23" s="555">
        <v>352689439.67224979</v>
      </c>
      <c r="U23" s="555">
        <v>372333012.89501685</v>
      </c>
      <c r="V23" s="555">
        <v>397898220.04735547</v>
      </c>
      <c r="W23" s="555">
        <v>427808817.30706388</v>
      </c>
      <c r="X23" s="555">
        <v>457700055.24255455</v>
      </c>
      <c r="Y23" s="555">
        <v>498509593.50046998</v>
      </c>
      <c r="Z23" s="555">
        <v>541274885.39808011</v>
      </c>
      <c r="AA23" s="555">
        <v>593400915.40441012</v>
      </c>
      <c r="AB23" s="555">
        <v>635666250.76134813</v>
      </c>
      <c r="AC23" s="555">
        <v>679205357.62957776</v>
      </c>
      <c r="AD23" s="555">
        <v>800958521.53678489</v>
      </c>
      <c r="AE23" s="555">
        <v>838358193.4541558</v>
      </c>
      <c r="AF23" s="555">
        <v>894765261.4884727</v>
      </c>
      <c r="AG23" s="555">
        <v>961365501.94943798</v>
      </c>
    </row>
    <row r="24" spans="1:33">
      <c r="A24" s="22">
        <v>370</v>
      </c>
      <c r="B24" s="22" t="s">
        <v>72</v>
      </c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>
        <v>14364231694.538219</v>
      </c>
      <c r="N24" s="551">
        <v>14191860914.203875</v>
      </c>
      <c r="O24" s="551">
        <v>12829442266.440254</v>
      </c>
      <c r="P24" s="551">
        <v>11854404654.190788</v>
      </c>
      <c r="Q24" s="551">
        <v>10467439309.650471</v>
      </c>
      <c r="R24" s="551">
        <v>9378825621.4468155</v>
      </c>
      <c r="S24" s="551">
        <v>9641432738.8473396</v>
      </c>
      <c r="T24" s="551">
        <v>10740556071.075932</v>
      </c>
      <c r="U24" s="551">
        <v>11642762781.046309</v>
      </c>
      <c r="V24" s="551">
        <v>12038616715.601875</v>
      </c>
      <c r="W24" s="551">
        <v>12736856485.106791</v>
      </c>
      <c r="X24" s="551">
        <v>13338711929.606571</v>
      </c>
      <c r="Y24" s="551">
        <v>14011685603.183016</v>
      </c>
      <c r="Z24" s="551">
        <v>14998555617.252743</v>
      </c>
      <c r="AA24" s="551">
        <v>16715851678.192221</v>
      </c>
      <c r="AB24" s="551">
        <v>18022474828.090954</v>
      </c>
      <c r="AC24" s="551">
        <v>19915194325.911922</v>
      </c>
      <c r="AD24" s="551">
        <v>21876144060.891399</v>
      </c>
      <c r="AE24" s="551">
        <v>24347281881.014614</v>
      </c>
      <c r="AF24" s="551">
        <v>24395976444.776642</v>
      </c>
      <c r="AG24" s="551">
        <v>26250070654.57967</v>
      </c>
    </row>
    <row r="25" spans="1:33">
      <c r="A25" s="22">
        <v>80</v>
      </c>
      <c r="B25" s="22" t="s">
        <v>16</v>
      </c>
      <c r="C25" s="553">
        <v>289162815.99942577</v>
      </c>
      <c r="D25" s="553">
        <v>292894847.99941832</v>
      </c>
      <c r="E25" s="553">
        <v>292065503.99941999</v>
      </c>
      <c r="F25" s="553">
        <v>285914559.99943221</v>
      </c>
      <c r="G25" s="553">
        <v>291512607.99942106</v>
      </c>
      <c r="H25" s="553">
        <v>294622623.99941486</v>
      </c>
      <c r="I25" s="553">
        <v>308099391.9993881</v>
      </c>
      <c r="J25" s="553">
        <v>342655167.99931943</v>
      </c>
      <c r="K25" s="553">
        <v>374308255.99925655</v>
      </c>
      <c r="L25" s="553">
        <v>423308351.99915922</v>
      </c>
      <c r="M25" s="553">
        <v>468299999.99906987</v>
      </c>
      <c r="N25" s="553">
        <v>517457662.39253342</v>
      </c>
      <c r="O25" s="553">
        <v>579737611.05976212</v>
      </c>
      <c r="P25" s="553">
        <v>616125222.72303522</v>
      </c>
      <c r="Q25" s="553">
        <v>617098317.48774958</v>
      </c>
      <c r="R25" s="553">
        <v>621072230.61203003</v>
      </c>
      <c r="S25" s="553">
        <v>629945630.25698757</v>
      </c>
      <c r="T25" s="553">
        <v>652278360.61487973</v>
      </c>
      <c r="U25" s="553">
        <v>676679801.38135529</v>
      </c>
      <c r="V25" s="553">
        <v>736094778.68661523</v>
      </c>
      <c r="W25" s="553">
        <v>832072464.65277636</v>
      </c>
      <c r="X25" s="553">
        <v>873319741.81956589</v>
      </c>
      <c r="Y25" s="553">
        <v>917848110.5228231</v>
      </c>
      <c r="Z25" s="553">
        <v>1003404009.2922081</v>
      </c>
      <c r="AA25" s="553">
        <v>1049766699.3818277</v>
      </c>
      <c r="AB25" s="553">
        <v>1081553523.1614046</v>
      </c>
      <c r="AC25" s="553">
        <v>1131878725.6660626</v>
      </c>
      <c r="AD25" s="553">
        <v>1145673435.9441047</v>
      </c>
      <c r="AE25" s="553">
        <v>1188849999.9976385</v>
      </c>
      <c r="AF25" s="553">
        <v>1188449999.9976392</v>
      </c>
      <c r="AG25" s="553">
        <v>1212218999.997592</v>
      </c>
    </row>
    <row r="26" spans="1:33">
      <c r="A26" s="22">
        <v>771</v>
      </c>
      <c r="B26" s="22" t="s">
        <v>163</v>
      </c>
      <c r="C26" s="549">
        <v>20461050012.598709</v>
      </c>
      <c r="D26" s="549">
        <v>21238978734.408752</v>
      </c>
      <c r="E26" s="549">
        <v>21743716016.474689</v>
      </c>
      <c r="F26" s="549">
        <v>22616962795.333496</v>
      </c>
      <c r="G26" s="549">
        <v>23788673521.703979</v>
      </c>
      <c r="H26" s="549">
        <v>24555449225.982384</v>
      </c>
      <c r="I26" s="549">
        <v>25598704785.483292</v>
      </c>
      <c r="J26" s="549">
        <v>26554115959.477257</v>
      </c>
      <c r="K26" s="549">
        <v>27127473044.25333</v>
      </c>
      <c r="L26" s="549">
        <v>27836138077.805023</v>
      </c>
      <c r="M26" s="549">
        <v>29489968538.011948</v>
      </c>
      <c r="N26" s="549">
        <v>30474743435.177021</v>
      </c>
      <c r="O26" s="549">
        <v>32010406325.136833</v>
      </c>
      <c r="P26" s="549">
        <v>33474682525.518272</v>
      </c>
      <c r="Q26" s="549">
        <v>34842024064.811371</v>
      </c>
      <c r="R26" s="549">
        <v>36558011930.567696</v>
      </c>
      <c r="S26" s="549">
        <v>38247711533.020409</v>
      </c>
      <c r="T26" s="549">
        <v>40308326777.052078</v>
      </c>
      <c r="U26" s="549">
        <v>42415457211.493095</v>
      </c>
      <c r="V26" s="549">
        <v>44480763466.550919</v>
      </c>
      <c r="W26" s="549">
        <v>47124925462.134766</v>
      </c>
      <c r="X26" s="549">
        <v>49610300682.345459</v>
      </c>
      <c r="Y26" s="549">
        <v>51800799317.384552</v>
      </c>
      <c r="Z26" s="549">
        <v>54523446362.113739</v>
      </c>
      <c r="AA26" s="549">
        <v>57942340647.678986</v>
      </c>
      <c r="AB26" s="549">
        <v>61393084271.968597</v>
      </c>
      <c r="AC26" s="549">
        <v>65463038830.432419</v>
      </c>
      <c r="AD26" s="549">
        <v>69670899875.777161</v>
      </c>
      <c r="AE26" s="549">
        <v>73983829245.043686</v>
      </c>
      <c r="AF26" s="549">
        <v>78231358239.341171</v>
      </c>
      <c r="AG26" s="549">
        <v>82795988930.71843</v>
      </c>
    </row>
    <row r="27" spans="1:33">
      <c r="A27" s="22">
        <v>145</v>
      </c>
      <c r="B27" s="22" t="s">
        <v>30</v>
      </c>
      <c r="C27" s="556">
        <v>5732694164.8778143</v>
      </c>
      <c r="D27" s="556">
        <v>5748494408.6795988</v>
      </c>
      <c r="E27" s="556">
        <v>5522076279.143363</v>
      </c>
      <c r="F27" s="556">
        <v>5298867252.1495113</v>
      </c>
      <c r="G27" s="556">
        <v>5288233917.1591892</v>
      </c>
      <c r="H27" s="556">
        <v>5199582623.9184885</v>
      </c>
      <c r="I27" s="556">
        <v>5065751742.956172</v>
      </c>
      <c r="J27" s="556">
        <v>5190545501.6401939</v>
      </c>
      <c r="K27" s="556">
        <v>5341564705.1322298</v>
      </c>
      <c r="L27" s="556">
        <v>5544016865.9661303</v>
      </c>
      <c r="M27" s="556">
        <v>5801025729.1485004</v>
      </c>
      <c r="N27" s="556">
        <v>6106538029.6228609</v>
      </c>
      <c r="O27" s="556">
        <v>6207082180.793849</v>
      </c>
      <c r="P27" s="556">
        <v>6472080850.6686935</v>
      </c>
      <c r="Q27" s="556">
        <v>6774150097.0206995</v>
      </c>
      <c r="R27" s="556">
        <v>7091063596.4961586</v>
      </c>
      <c r="S27" s="556">
        <v>7400329011.5994606</v>
      </c>
      <c r="T27" s="556">
        <v>7766956760.9558153</v>
      </c>
      <c r="U27" s="556">
        <v>8157584560.9046049</v>
      </c>
      <c r="V27" s="556">
        <v>8192408095.416687</v>
      </c>
      <c r="W27" s="556">
        <v>8397858205.8257141</v>
      </c>
      <c r="X27" s="556">
        <v>8539261261.1833487</v>
      </c>
      <c r="Y27" s="556">
        <v>8751510219.9684639</v>
      </c>
      <c r="Z27" s="556">
        <v>8988793402.4769745</v>
      </c>
      <c r="AA27" s="556">
        <v>9363922318.5318832</v>
      </c>
      <c r="AB27" s="556">
        <v>9777941879.3729382</v>
      </c>
      <c r="AC27" s="556">
        <v>10246990605.781357</v>
      </c>
      <c r="AD27" s="556">
        <v>10714702654.938095</v>
      </c>
      <c r="AE27" s="556">
        <v>11373495913.042994</v>
      </c>
      <c r="AF27" s="556">
        <v>11755304106.01087</v>
      </c>
      <c r="AG27" s="556">
        <v>12249026878.463327</v>
      </c>
    </row>
    <row r="28" spans="1:33">
      <c r="A28" s="22">
        <v>346</v>
      </c>
      <c r="B28" s="22" t="s">
        <v>60</v>
      </c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557">
        <v>1342817884.1886692</v>
      </c>
      <c r="R28" s="557">
        <v>1622124019.8216612</v>
      </c>
      <c r="S28" s="557">
        <v>3065127655.7915487</v>
      </c>
      <c r="T28" s="557">
        <v>4119212034.1935477</v>
      </c>
      <c r="U28" s="557">
        <v>4761808952.8129416</v>
      </c>
      <c r="V28" s="557">
        <v>5218942612.2829847</v>
      </c>
      <c r="W28" s="557">
        <v>5505984455.9585485</v>
      </c>
      <c r="X28" s="557">
        <v>5748247772.02073</v>
      </c>
      <c r="Y28" s="557">
        <v>6052904903.9378233</v>
      </c>
      <c r="Z28" s="557">
        <v>6295021100.0953379</v>
      </c>
      <c r="AA28" s="557">
        <v>6679017387.2011518</v>
      </c>
      <c r="AB28" s="557">
        <v>7012968256.5612154</v>
      </c>
      <c r="AC28" s="557">
        <v>7447772288.4680233</v>
      </c>
      <c r="AD28" s="557">
        <v>7957050957.5534811</v>
      </c>
      <c r="AE28" s="557">
        <v>8388323119.4528465</v>
      </c>
      <c r="AF28" s="557">
        <v>8128285102.7498074</v>
      </c>
      <c r="AG28" s="557">
        <v>8193311383.571806</v>
      </c>
    </row>
    <row r="29" spans="1:33">
      <c r="A29" s="22">
        <v>571</v>
      </c>
      <c r="B29" s="22" t="s">
        <v>122</v>
      </c>
      <c r="C29" s="558">
        <v>1149554147.7138944</v>
      </c>
      <c r="D29" s="558">
        <v>1253759594.1702096</v>
      </c>
      <c r="E29" s="558">
        <v>1406286114.5881226</v>
      </c>
      <c r="F29" s="558">
        <v>1591166745.3977144</v>
      </c>
      <c r="G29" s="558">
        <v>1727138045.6931322</v>
      </c>
      <c r="H29" s="558">
        <v>1850201316.4920261</v>
      </c>
      <c r="I29" s="558">
        <v>2001416865.1641986</v>
      </c>
      <c r="J29" s="558">
        <v>2239223778.3755546</v>
      </c>
      <c r="K29" s="558">
        <v>2674752122.5727324</v>
      </c>
      <c r="L29" s="558">
        <v>3024058863.4923458</v>
      </c>
      <c r="M29" s="558">
        <v>3228872987.7692261</v>
      </c>
      <c r="N29" s="558">
        <v>3469705220.3938303</v>
      </c>
      <c r="O29" s="558">
        <v>3570918962.0970454</v>
      </c>
      <c r="P29" s="558">
        <v>3639341602.8266678</v>
      </c>
      <c r="Q29" s="558">
        <v>3771373857.1616969</v>
      </c>
      <c r="R29" s="558">
        <v>3937459474.9057689</v>
      </c>
      <c r="S29" s="558">
        <v>4156073603.9809804</v>
      </c>
      <c r="T29" s="558">
        <v>4578731951.3850174</v>
      </c>
      <c r="U29" s="558">
        <v>5062855230.7402325</v>
      </c>
      <c r="V29" s="558">
        <v>5319318419.8024063</v>
      </c>
      <c r="W29" s="558">
        <v>5632391130.0078163</v>
      </c>
      <c r="X29" s="558">
        <v>5829296325.4415236</v>
      </c>
      <c r="Y29" s="558">
        <v>6352084682.4580927</v>
      </c>
      <c r="Z29" s="558">
        <v>6750690537.3475342</v>
      </c>
      <c r="AA29" s="558">
        <v>7160256353.3368521</v>
      </c>
      <c r="AB29" s="558">
        <v>7277848792.0578823</v>
      </c>
      <c r="AC29" s="558">
        <v>7651632849.9578171</v>
      </c>
      <c r="AD29" s="558">
        <v>8018716760.6473875</v>
      </c>
      <c r="AE29" s="558">
        <v>8248658044.6204681</v>
      </c>
      <c r="AF29" s="558">
        <v>7841729297.1388283</v>
      </c>
      <c r="AG29" s="558">
        <v>8405868745.1071301</v>
      </c>
    </row>
    <row r="30" spans="1:33">
      <c r="A30" s="22">
        <v>140</v>
      </c>
      <c r="B30" s="22" t="s">
        <v>29</v>
      </c>
      <c r="C30" s="559">
        <v>430378734063.39252</v>
      </c>
      <c r="D30" s="559">
        <v>411470658990.69812</v>
      </c>
      <c r="E30" s="559">
        <v>413858199196.66949</v>
      </c>
      <c r="F30" s="559">
        <v>399746489303.71307</v>
      </c>
      <c r="G30" s="559">
        <v>420809704087.75732</v>
      </c>
      <c r="H30" s="559">
        <v>454246661386.66351</v>
      </c>
      <c r="I30" s="559">
        <v>490533225221.10986</v>
      </c>
      <c r="J30" s="559">
        <v>508190603691.94</v>
      </c>
      <c r="K30" s="559">
        <v>507668830626.15729</v>
      </c>
      <c r="L30" s="559">
        <v>524317621031.58698</v>
      </c>
      <c r="M30" s="559">
        <v>501771963327.2287</v>
      </c>
      <c r="N30" s="559">
        <v>509359093915.48578</v>
      </c>
      <c r="O30" s="559">
        <v>506980820288.7821</v>
      </c>
      <c r="P30" s="559">
        <v>530632240834.09869</v>
      </c>
      <c r="Q30" s="559">
        <v>558938074182.59607</v>
      </c>
      <c r="R30" s="559">
        <v>583625429865.92468</v>
      </c>
      <c r="S30" s="559">
        <v>596173376608.04211</v>
      </c>
      <c r="T30" s="559">
        <v>616293863302.6698</v>
      </c>
      <c r="U30" s="559">
        <v>616527313474.61621</v>
      </c>
      <c r="V30" s="559">
        <v>618073920863.76086</v>
      </c>
      <c r="W30" s="559">
        <v>644701831101.3938</v>
      </c>
      <c r="X30" s="559">
        <v>653149809198.703</v>
      </c>
      <c r="Y30" s="559">
        <v>670512665737.21423</v>
      </c>
      <c r="Z30" s="559">
        <v>678217761978.68311</v>
      </c>
      <c r="AA30" s="559">
        <v>716959543488.88318</v>
      </c>
      <c r="AB30" s="559">
        <v>739613124999.3075</v>
      </c>
      <c r="AC30" s="559">
        <v>768867489436.03931</v>
      </c>
      <c r="AD30" s="559">
        <v>815703390473.8728</v>
      </c>
      <c r="AE30" s="559">
        <v>857827247452.68298</v>
      </c>
      <c r="AF30" s="559">
        <v>852297396504.70325</v>
      </c>
      <c r="AG30" s="559">
        <v>916131427896.28845</v>
      </c>
    </row>
    <row r="31" spans="1:33">
      <c r="A31" s="22">
        <v>835</v>
      </c>
      <c r="B31" s="22" t="s">
        <v>174</v>
      </c>
      <c r="C31" s="560">
        <v>5774494577.7542839</v>
      </c>
      <c r="D31" s="560">
        <v>4629601947.8602457</v>
      </c>
      <c r="E31" s="560">
        <v>4812779345.1822309</v>
      </c>
      <c r="F31" s="560">
        <v>4836913746.9019289</v>
      </c>
      <c r="G31" s="560">
        <v>4865929263.5761738</v>
      </c>
      <c r="H31" s="560">
        <v>4793390471.8905621</v>
      </c>
      <c r="I31" s="560">
        <v>4663227406.4360056</v>
      </c>
      <c r="J31" s="560">
        <v>4756917696.2579832</v>
      </c>
      <c r="K31" s="560">
        <v>4809118508.9663219</v>
      </c>
      <c r="L31" s="560">
        <v>4757460042.3640442</v>
      </c>
      <c r="M31" s="560">
        <v>4809288783.3610773</v>
      </c>
      <c r="N31" s="560">
        <v>4960586183.1081219</v>
      </c>
      <c r="O31" s="560">
        <v>5196639649.0333748</v>
      </c>
      <c r="P31" s="560">
        <v>5212467260.7471037</v>
      </c>
      <c r="Q31" s="560">
        <v>5376420034.077384</v>
      </c>
      <c r="R31" s="560">
        <v>5617214139.6533155</v>
      </c>
      <c r="S31" s="560">
        <v>5778895441.9204473</v>
      </c>
      <c r="T31" s="560">
        <v>5693877965.8214178</v>
      </c>
      <c r="U31" s="560">
        <v>5662077179.5217276</v>
      </c>
      <c r="V31" s="560">
        <v>5834892611.6981449</v>
      </c>
      <c r="W31" s="560">
        <v>6001153317.865428</v>
      </c>
      <c r="X31" s="560">
        <v>6165827449.6303282</v>
      </c>
      <c r="Y31" s="560">
        <v>6404574284.0290489</v>
      </c>
      <c r="Z31" s="560">
        <v>6590560241.4049149</v>
      </c>
      <c r="AA31" s="560">
        <v>6623797619.2742586</v>
      </c>
      <c r="AB31" s="560">
        <v>6649465292.7519512</v>
      </c>
      <c r="AC31" s="560">
        <v>6941890186.5797176</v>
      </c>
      <c r="AD31" s="560">
        <v>6952563057.0682831</v>
      </c>
      <c r="AE31" s="560">
        <v>6817818067.1501303</v>
      </c>
      <c r="AF31" s="560">
        <v>6697458250.499176</v>
      </c>
      <c r="AG31" s="560"/>
    </row>
    <row r="32" spans="1:33">
      <c r="A32" s="22">
        <v>516</v>
      </c>
      <c r="B32" s="22" t="s">
        <v>108</v>
      </c>
      <c r="C32" s="563">
        <v>559379258.77497733</v>
      </c>
      <c r="D32" s="563">
        <v>627418099.45950711</v>
      </c>
      <c r="E32" s="563">
        <v>620807623.5097239</v>
      </c>
      <c r="F32" s="563">
        <v>643872656.69742072</v>
      </c>
      <c r="G32" s="563">
        <v>644874162.04986179</v>
      </c>
      <c r="H32" s="563">
        <v>720860846.49286628</v>
      </c>
      <c r="I32" s="563">
        <v>744290124.87959528</v>
      </c>
      <c r="J32" s="563">
        <v>785249125.83199334</v>
      </c>
      <c r="K32" s="563">
        <v>824755200.66580284</v>
      </c>
      <c r="L32" s="563">
        <v>835885290.51378167</v>
      </c>
      <c r="M32" s="563">
        <v>865139788.96666598</v>
      </c>
      <c r="N32" s="563">
        <v>908369409.34160256</v>
      </c>
      <c r="O32" s="563">
        <v>917543925.52246606</v>
      </c>
      <c r="P32" s="563">
        <v>860289184.56986535</v>
      </c>
      <c r="Q32" s="563">
        <v>827340108.80084074</v>
      </c>
      <c r="R32" s="563">
        <v>761814772.18381631</v>
      </c>
      <c r="S32" s="563">
        <v>700869590.40910864</v>
      </c>
      <c r="T32" s="563">
        <v>689725763.92160213</v>
      </c>
      <c r="U32" s="563">
        <v>722487737.70787871</v>
      </c>
      <c r="V32" s="563">
        <v>715190611.55703199</v>
      </c>
      <c r="W32" s="563">
        <v>709062400.26641881</v>
      </c>
      <c r="X32" s="563">
        <v>723639355.48017681</v>
      </c>
      <c r="Y32" s="563">
        <v>755816119.96030188</v>
      </c>
      <c r="Z32" s="563">
        <v>746566986.78801799</v>
      </c>
      <c r="AA32" s="563">
        <v>782653479.88952994</v>
      </c>
      <c r="AB32" s="563">
        <v>789697361.20853722</v>
      </c>
      <c r="AC32" s="563">
        <v>830169350.97047424</v>
      </c>
      <c r="AD32" s="563">
        <v>860057926.44955587</v>
      </c>
      <c r="AE32" s="563">
        <v>898759823.57121623</v>
      </c>
      <c r="AF32" s="563">
        <v>930216417.39620876</v>
      </c>
      <c r="AG32" s="563">
        <v>966494857.67466068</v>
      </c>
    </row>
    <row r="33" spans="1:33">
      <c r="A33" s="22">
        <v>355</v>
      </c>
      <c r="B33" s="22" t="s">
        <v>64</v>
      </c>
      <c r="C33" s="561">
        <v>11464296023.15229</v>
      </c>
      <c r="D33" s="561">
        <v>12026065056.738247</v>
      </c>
      <c r="E33" s="561">
        <v>12306821433.084276</v>
      </c>
      <c r="F33" s="561">
        <v>12728983092.570274</v>
      </c>
      <c r="G33" s="561">
        <v>13161315817.889709</v>
      </c>
      <c r="H33" s="561">
        <v>13514491917.794559</v>
      </c>
      <c r="I33" s="561">
        <v>14083127965.074764</v>
      </c>
      <c r="J33" s="561">
        <v>14935792898.576391</v>
      </c>
      <c r="K33" s="561">
        <v>16570469408.796928</v>
      </c>
      <c r="L33" s="561">
        <v>16025320519.742569</v>
      </c>
      <c r="M33" s="561">
        <v>14564231601.624853</v>
      </c>
      <c r="N33" s="561">
        <v>13334230508.363592</v>
      </c>
      <c r="O33" s="561">
        <v>12364513547.943005</v>
      </c>
      <c r="P33" s="561">
        <v>12181492190.424398</v>
      </c>
      <c r="Q33" s="561">
        <v>12402953053.49892</v>
      </c>
      <c r="R33" s="561">
        <v>12757701009.55271</v>
      </c>
      <c r="S33" s="561">
        <v>11605673634.694908</v>
      </c>
      <c r="T33" s="561">
        <v>11414698748.474102</v>
      </c>
      <c r="U33" s="561">
        <v>11969608571.862152</v>
      </c>
      <c r="V33" s="561">
        <v>12204708617.99408</v>
      </c>
      <c r="W33" s="561">
        <v>12903546576.088654</v>
      </c>
      <c r="X33" s="561">
        <v>13439228305.399006</v>
      </c>
      <c r="Y33" s="561">
        <v>14064179291.314484</v>
      </c>
      <c r="Z33" s="561">
        <v>14838464301.619358</v>
      </c>
      <c r="AA33" s="561">
        <v>15839807529.741922</v>
      </c>
      <c r="AB33" s="561">
        <v>16846951092.185541</v>
      </c>
      <c r="AC33" s="561">
        <v>17943792971.330788</v>
      </c>
      <c r="AD33" s="561">
        <v>19100854899.082741</v>
      </c>
      <c r="AE33" s="561">
        <v>20288378389.525402</v>
      </c>
      <c r="AF33" s="561">
        <v>19169426968.170448</v>
      </c>
      <c r="AG33" s="561">
        <v>19207765822.106789</v>
      </c>
    </row>
    <row r="34" spans="1:33">
      <c r="A34" s="22">
        <v>811</v>
      </c>
      <c r="B34" s="22" t="s">
        <v>169</v>
      </c>
      <c r="C34" s="564"/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64"/>
      <c r="P34" s="564">
        <v>2211084361.7175765</v>
      </c>
      <c r="Q34" s="564">
        <v>2412281198.4361897</v>
      </c>
      <c r="R34" s="564">
        <v>2567702131.2223134</v>
      </c>
      <c r="S34" s="564">
        <v>2706674884.7908978</v>
      </c>
      <c r="T34" s="564">
        <v>2858784408.4538116</v>
      </c>
      <c r="U34" s="564">
        <v>3001981855.7410026</v>
      </c>
      <c r="V34" s="564">
        <v>3359510627.74334</v>
      </c>
      <c r="W34" s="564">
        <v>3654031716.276494</v>
      </c>
      <c r="X34" s="564">
        <v>3947765865.5570469</v>
      </c>
      <c r="Y34" s="564">
        <v>4211787742.8054872</v>
      </c>
      <c r="Z34" s="564">
        <v>4570038145.4131451</v>
      </c>
      <c r="AA34" s="564">
        <v>5042604252.665822</v>
      </c>
      <c r="AB34" s="564">
        <v>5710753630.4434566</v>
      </c>
      <c r="AC34" s="564">
        <v>6325863881.6221924</v>
      </c>
      <c r="AD34" s="564">
        <v>6971897273.0078154</v>
      </c>
      <c r="AE34" s="564">
        <v>7438427180.4810953</v>
      </c>
      <c r="AF34" s="564">
        <v>7299011316.6126404</v>
      </c>
      <c r="AG34" s="564">
        <v>7788044971.1531734</v>
      </c>
    </row>
    <row r="35" spans="1:33">
      <c r="A35" s="22">
        <v>20</v>
      </c>
      <c r="B35" s="22" t="s">
        <v>1</v>
      </c>
      <c r="C35" s="566">
        <v>411965674567.36938</v>
      </c>
      <c r="D35" s="566">
        <v>426397324557.2691</v>
      </c>
      <c r="E35" s="566">
        <v>414206601710.32275</v>
      </c>
      <c r="F35" s="566">
        <v>425463934280.52002</v>
      </c>
      <c r="G35" s="566">
        <v>450202400107.737</v>
      </c>
      <c r="H35" s="566">
        <v>471722414988.88977</v>
      </c>
      <c r="I35" s="566">
        <v>483141789913.13727</v>
      </c>
      <c r="J35" s="566">
        <v>503690868089.69104</v>
      </c>
      <c r="K35" s="566">
        <v>528746831526.49658</v>
      </c>
      <c r="L35" s="566">
        <v>542596841761.49756</v>
      </c>
      <c r="M35" s="566">
        <v>543644188674.16339</v>
      </c>
      <c r="N35" s="566">
        <v>532270264628.64453</v>
      </c>
      <c r="O35" s="566">
        <v>536928652952.66315</v>
      </c>
      <c r="P35" s="566">
        <v>549484959127.33148</v>
      </c>
      <c r="Q35" s="566">
        <v>575883371018.78662</v>
      </c>
      <c r="R35" s="566">
        <v>592056646959.80066</v>
      </c>
      <c r="S35" s="566">
        <v>601640859268.73608</v>
      </c>
      <c r="T35" s="566">
        <v>627065699683.52295</v>
      </c>
      <c r="U35" s="566">
        <v>652759293178.9104</v>
      </c>
      <c r="V35" s="566">
        <v>688868389334.05151</v>
      </c>
      <c r="W35" s="566">
        <v>724918860682.78223</v>
      </c>
      <c r="X35" s="566">
        <v>737849972392.4314</v>
      </c>
      <c r="Y35" s="566">
        <v>759428612214.66553</v>
      </c>
      <c r="Z35" s="566">
        <v>773714028684.93689</v>
      </c>
      <c r="AA35" s="566">
        <v>797853728368.45984</v>
      </c>
      <c r="AB35" s="566">
        <v>821941389805.40002</v>
      </c>
      <c r="AC35" s="566">
        <v>845145064305.43359</v>
      </c>
      <c r="AD35" s="566">
        <v>863738436468.92432</v>
      </c>
      <c r="AE35" s="566">
        <v>868214361995.82483</v>
      </c>
      <c r="AF35" s="566">
        <v>846838604807.75671</v>
      </c>
      <c r="AG35" s="566">
        <v>872845084506.09351</v>
      </c>
    </row>
    <row r="36" spans="1:33">
      <c r="A36" s="22">
        <v>471</v>
      </c>
      <c r="B36" s="22" t="s">
        <v>98</v>
      </c>
      <c r="C36" s="565">
        <v>6338843528.535717</v>
      </c>
      <c r="D36" s="565">
        <v>7421688026.7656498</v>
      </c>
      <c r="E36" s="565">
        <v>7979517135.6773405</v>
      </c>
      <c r="F36" s="565">
        <v>8527457057.348238</v>
      </c>
      <c r="G36" s="565">
        <v>9164848021.141325</v>
      </c>
      <c r="H36" s="565">
        <v>9903824534.0814095</v>
      </c>
      <c r="I36" s="565">
        <v>10574478163.591124</v>
      </c>
      <c r="J36" s="565">
        <v>10347481105.689278</v>
      </c>
      <c r="K36" s="565">
        <v>9537932265.3578205</v>
      </c>
      <c r="L36" s="565">
        <v>9364425782.9455032</v>
      </c>
      <c r="M36" s="565">
        <v>8792662258.3393192</v>
      </c>
      <c r="N36" s="565">
        <v>8457784978.8757782</v>
      </c>
      <c r="O36" s="565">
        <v>8195593372.9241161</v>
      </c>
      <c r="P36" s="565">
        <v>7933334601.8044205</v>
      </c>
      <c r="Q36" s="565">
        <v>7735001163.1132927</v>
      </c>
      <c r="R36" s="565">
        <v>7990255903.3769512</v>
      </c>
      <c r="S36" s="565">
        <v>8389769052.0466843</v>
      </c>
      <c r="T36" s="565">
        <v>8817647111.6798248</v>
      </c>
      <c r="U36" s="565">
        <v>9261990653.3396873</v>
      </c>
      <c r="V36" s="565">
        <v>9668944995.6258163</v>
      </c>
      <c r="W36" s="565">
        <v>10075040330.76288</v>
      </c>
      <c r="X36" s="565">
        <v>10529854963.383463</v>
      </c>
      <c r="Y36" s="565">
        <v>10952001542.149338</v>
      </c>
      <c r="Z36" s="565">
        <v>11393475992.226749</v>
      </c>
      <c r="AA36" s="565">
        <v>11815245845.173634</v>
      </c>
      <c r="AB36" s="565">
        <v>12086601213.554377</v>
      </c>
      <c r="AC36" s="565">
        <v>12476049221.796881</v>
      </c>
      <c r="AD36" s="565">
        <v>12912710944.559771</v>
      </c>
      <c r="AE36" s="565">
        <v>13287179561.952003</v>
      </c>
      <c r="AF36" s="565">
        <v>13552923153.191044</v>
      </c>
      <c r="AG36" s="565">
        <v>13905299155.174011</v>
      </c>
    </row>
    <row r="37" spans="1:33">
      <c r="A37" s="22">
        <v>402</v>
      </c>
      <c r="B37" s="22" t="s">
        <v>81</v>
      </c>
      <c r="C37" s="567"/>
      <c r="D37" s="567">
        <v>183274316.97763675</v>
      </c>
      <c r="E37" s="567">
        <v>193171130.09442914</v>
      </c>
      <c r="F37" s="567">
        <v>214033612.14462751</v>
      </c>
      <c r="G37" s="567">
        <v>236271704.44645435</v>
      </c>
      <c r="H37" s="567">
        <v>254937169.09772423</v>
      </c>
      <c r="I37" s="567">
        <v>261310598.3251673</v>
      </c>
      <c r="J37" s="567">
        <v>268153850.02819848</v>
      </c>
      <c r="K37" s="567">
        <v>284234697.6496138</v>
      </c>
      <c r="L37" s="567">
        <v>300433039.61581439</v>
      </c>
      <c r="M37" s="567">
        <v>302547937.82194841</v>
      </c>
      <c r="N37" s="567">
        <v>306822191.5538649</v>
      </c>
      <c r="O37" s="567">
        <v>316828263.99760103</v>
      </c>
      <c r="P37" s="567">
        <v>339190295.78077769</v>
      </c>
      <c r="Q37" s="567">
        <v>362695515.78348631</v>
      </c>
      <c r="R37" s="567">
        <v>389881166.74852121</v>
      </c>
      <c r="S37" s="567">
        <v>405487507.21956396</v>
      </c>
      <c r="T37" s="567">
        <v>427384554.88612121</v>
      </c>
      <c r="U37" s="567">
        <v>459011011.94769418</v>
      </c>
      <c r="V37" s="567">
        <v>498485962.79002643</v>
      </c>
      <c r="W37" s="567">
        <v>531386031.89987218</v>
      </c>
      <c r="X37" s="567">
        <v>551578701.49372613</v>
      </c>
      <c r="Y37" s="567">
        <v>576951321.76243758</v>
      </c>
      <c r="Z37" s="567">
        <v>612722303.7117089</v>
      </c>
      <c r="AA37" s="567">
        <v>608356931.05900133</v>
      </c>
      <c r="AB37" s="567">
        <v>680688571.11522508</v>
      </c>
      <c r="AC37" s="567">
        <v>749720464.69671917</v>
      </c>
      <c r="AD37" s="567">
        <v>814568347.51751268</v>
      </c>
      <c r="AE37" s="567">
        <v>865052253.06594503</v>
      </c>
      <c r="AF37" s="567">
        <v>895902693.66987479</v>
      </c>
      <c r="AG37" s="567">
        <v>944370323.67852736</v>
      </c>
    </row>
    <row r="38" spans="1:33">
      <c r="A38" s="22">
        <v>437</v>
      </c>
      <c r="B38" s="22" t="s">
        <v>91</v>
      </c>
      <c r="C38" s="577">
        <v>7727415010.4177647</v>
      </c>
      <c r="D38" s="577">
        <v>7997913088.4863596</v>
      </c>
      <c r="E38" s="577">
        <v>8013974685.6250191</v>
      </c>
      <c r="F38" s="577">
        <v>7701410403.8399172</v>
      </c>
      <c r="G38" s="577">
        <v>7493375174.8307056</v>
      </c>
      <c r="H38" s="577">
        <v>7830668714.7425632</v>
      </c>
      <c r="I38" s="577">
        <v>8085897519.0895996</v>
      </c>
      <c r="J38" s="577">
        <v>8057679927.2299747</v>
      </c>
      <c r="K38" s="577">
        <v>8149254167.4135599</v>
      </c>
      <c r="L38" s="577">
        <v>8389494583.1848516</v>
      </c>
      <c r="M38" s="577">
        <v>8297553406.3367891</v>
      </c>
      <c r="N38" s="577">
        <v>8300949194.0967588</v>
      </c>
      <c r="O38" s="577">
        <v>8280648341.9538994</v>
      </c>
      <c r="P38" s="577">
        <v>8264709327.6389914</v>
      </c>
      <c r="Q38" s="577">
        <v>8331753202.3568764</v>
      </c>
      <c r="R38" s="577">
        <v>8925452666.4465027</v>
      </c>
      <c r="S38" s="577">
        <v>9615330126.9680519</v>
      </c>
      <c r="T38" s="577">
        <v>10165236491.188309</v>
      </c>
      <c r="U38" s="577">
        <v>10648336839.284388</v>
      </c>
      <c r="V38" s="577">
        <v>10817267121.262857</v>
      </c>
      <c r="W38" s="577">
        <v>10417006095.676844</v>
      </c>
      <c r="X38" s="577">
        <v>10414794516.238646</v>
      </c>
      <c r="Y38" s="577">
        <v>10265778787.133993</v>
      </c>
      <c r="Z38" s="577">
        <v>10106108491.496206</v>
      </c>
      <c r="AA38" s="577">
        <v>10287397439.438625</v>
      </c>
      <c r="AB38" s="577">
        <v>10416603855.061213</v>
      </c>
      <c r="AC38" s="577">
        <v>10487850374.257971</v>
      </c>
      <c r="AD38" s="577">
        <v>10667682579.899302</v>
      </c>
      <c r="AE38" s="577">
        <v>10916239584.01096</v>
      </c>
      <c r="AF38" s="577">
        <v>11325598568.411371</v>
      </c>
      <c r="AG38" s="577">
        <v>11666499085.320553</v>
      </c>
    </row>
    <row r="39" spans="1:33">
      <c r="A39" s="22">
        <v>482</v>
      </c>
      <c r="B39" s="22" t="s">
        <v>101</v>
      </c>
      <c r="C39" s="568">
        <v>735280403.10117257</v>
      </c>
      <c r="D39" s="568">
        <v>723923942.42910588</v>
      </c>
      <c r="E39" s="568">
        <v>779779920.26058424</v>
      </c>
      <c r="F39" s="568">
        <v>716411512.44040954</v>
      </c>
      <c r="G39" s="568">
        <v>784338464.45315564</v>
      </c>
      <c r="H39" s="568">
        <v>815141622.79903746</v>
      </c>
      <c r="I39" s="568">
        <v>844307119.64823687</v>
      </c>
      <c r="J39" s="568">
        <v>802606510.92587113</v>
      </c>
      <c r="K39" s="568">
        <v>816333273.03304994</v>
      </c>
      <c r="L39" s="568">
        <v>832474749.93779993</v>
      </c>
      <c r="M39" s="568">
        <v>814596168.93457377</v>
      </c>
      <c r="N39" s="568">
        <v>810096120.39011753</v>
      </c>
      <c r="O39" s="568">
        <v>758054780.98425364</v>
      </c>
      <c r="P39" s="568">
        <v>760595369.75054634</v>
      </c>
      <c r="Q39" s="568">
        <v>797864535.93550515</v>
      </c>
      <c r="R39" s="568">
        <v>855310801.01037526</v>
      </c>
      <c r="S39" s="568">
        <v>821098357.41526449</v>
      </c>
      <c r="T39" s="568">
        <v>864616592.02332795</v>
      </c>
      <c r="U39" s="568">
        <v>905253518.76903987</v>
      </c>
      <c r="V39" s="568">
        <v>937842672.02052581</v>
      </c>
      <c r="W39" s="568">
        <v>959413050.58832407</v>
      </c>
      <c r="X39" s="568">
        <v>961916948.87459338</v>
      </c>
      <c r="Y39" s="568">
        <v>956312926.47915936</v>
      </c>
      <c r="Z39" s="568">
        <v>883633144.06674337</v>
      </c>
      <c r="AA39" s="568">
        <v>892469475.50741017</v>
      </c>
      <c r="AB39" s="568">
        <v>913888742.91958904</v>
      </c>
      <c r="AC39" s="568">
        <v>948616515.15053368</v>
      </c>
      <c r="AD39" s="568">
        <v>983715326.21110296</v>
      </c>
      <c r="AE39" s="568">
        <v>1003389632.7353251</v>
      </c>
      <c r="AF39" s="568">
        <v>1020447256.4918256</v>
      </c>
      <c r="AG39" s="568">
        <v>1054122015.9560558</v>
      </c>
    </row>
    <row r="40" spans="1:33">
      <c r="A40" s="22">
        <v>483</v>
      </c>
      <c r="B40" s="22" t="s">
        <v>102</v>
      </c>
      <c r="C40" s="569">
        <v>664885432.2508148</v>
      </c>
      <c r="D40" s="569">
        <v>671819642.72655571</v>
      </c>
      <c r="E40" s="569">
        <v>707739212.20393312</v>
      </c>
      <c r="F40" s="569">
        <v>818703645.94898129</v>
      </c>
      <c r="G40" s="569">
        <v>835478055.9900167</v>
      </c>
      <c r="H40" s="569">
        <v>1017551896.6872207</v>
      </c>
      <c r="I40" s="569">
        <v>976018811.43769956</v>
      </c>
      <c r="J40" s="569">
        <v>952703591.10516989</v>
      </c>
      <c r="K40" s="569">
        <v>1100204581.957386</v>
      </c>
      <c r="L40" s="569">
        <v>1153946661.4219062</v>
      </c>
      <c r="M40" s="569">
        <v>1105729318.9317031</v>
      </c>
      <c r="N40" s="569">
        <v>1200104833.0401468</v>
      </c>
      <c r="O40" s="569">
        <v>1296130541.301641</v>
      </c>
      <c r="P40" s="569">
        <v>1092510545.4126821</v>
      </c>
      <c r="Q40" s="569">
        <v>1203257111.7857044</v>
      </c>
      <c r="R40" s="569">
        <v>1218135979.3299692</v>
      </c>
      <c r="S40" s="569">
        <v>1245111272.1494532</v>
      </c>
      <c r="T40" s="569">
        <v>1315502297.231868</v>
      </c>
      <c r="U40" s="569">
        <v>1406950490.7544639</v>
      </c>
      <c r="V40" s="569">
        <v>1397343126.2118447</v>
      </c>
      <c r="W40" s="569">
        <v>1385050963.934695</v>
      </c>
      <c r="X40" s="569">
        <v>1546522070.2670546</v>
      </c>
      <c r="Y40" s="569">
        <v>1677840504.2209373</v>
      </c>
      <c r="Z40" s="569">
        <v>1924846596.216274</v>
      </c>
      <c r="AA40" s="569">
        <v>2572160415.6085124</v>
      </c>
      <c r="AB40" s="569">
        <v>3017980987.3898931</v>
      </c>
      <c r="AC40" s="569">
        <v>3024016949.3646727</v>
      </c>
      <c r="AD40" s="569">
        <v>3030064983.263402</v>
      </c>
      <c r="AE40" s="569">
        <v>3017944723.3303485</v>
      </c>
      <c r="AF40" s="569">
        <v>2969657607.7570629</v>
      </c>
      <c r="AG40" s="569">
        <v>3097352884.8906164</v>
      </c>
    </row>
    <row r="41" spans="1:33">
      <c r="A41" s="22">
        <v>155</v>
      </c>
      <c r="B41" s="22" t="s">
        <v>32</v>
      </c>
      <c r="C41" s="570">
        <v>27950035374.905136</v>
      </c>
      <c r="D41" s="570">
        <v>29274115494.391518</v>
      </c>
      <c r="E41" s="570">
        <v>26252080505.499535</v>
      </c>
      <c r="F41" s="570">
        <v>25258026489.583332</v>
      </c>
      <c r="G41" s="570">
        <v>27271935216.292839</v>
      </c>
      <c r="H41" s="570">
        <v>29213486581.276215</v>
      </c>
      <c r="I41" s="570">
        <v>30848376501.658237</v>
      </c>
      <c r="J41" s="570">
        <v>32882584739.242283</v>
      </c>
      <c r="K41" s="570">
        <v>35286696751.706703</v>
      </c>
      <c r="L41" s="570">
        <v>39013086690.102058</v>
      </c>
      <c r="M41" s="570">
        <v>40455626742.149612</v>
      </c>
      <c r="N41" s="570">
        <v>43679935489.348045</v>
      </c>
      <c r="O41" s="570">
        <v>49042927668.511444</v>
      </c>
      <c r="P41" s="570">
        <v>52469207192.743118</v>
      </c>
      <c r="Q41" s="570">
        <v>55464212029.098656</v>
      </c>
      <c r="R41" s="570">
        <v>61358713992.547112</v>
      </c>
      <c r="S41" s="570">
        <v>65907537052.976631</v>
      </c>
      <c r="T41" s="570">
        <v>70261111896.979919</v>
      </c>
      <c r="U41" s="570">
        <v>72531163201.783691</v>
      </c>
      <c r="V41" s="570">
        <v>71979306356.54248</v>
      </c>
      <c r="W41" s="570">
        <v>75210511779.643738</v>
      </c>
      <c r="X41" s="570">
        <v>77750400227.524887</v>
      </c>
      <c r="Y41" s="570">
        <v>79448554862.667053</v>
      </c>
      <c r="Z41" s="570">
        <v>82560485563.267838</v>
      </c>
      <c r="AA41" s="570">
        <v>87548036111.485626</v>
      </c>
      <c r="AB41" s="570">
        <v>92415227619.297852</v>
      </c>
      <c r="AC41" s="570">
        <v>96657039428.778687</v>
      </c>
      <c r="AD41" s="570">
        <v>101103538908.71548</v>
      </c>
      <c r="AE41" s="570">
        <v>104806280355.99193</v>
      </c>
      <c r="AF41" s="570">
        <v>103043555782.03564</v>
      </c>
      <c r="AG41" s="570">
        <v>108399900217.32553</v>
      </c>
    </row>
    <row r="42" spans="1:33">
      <c r="A42" s="22">
        <v>710</v>
      </c>
      <c r="B42" s="22" t="s">
        <v>154</v>
      </c>
      <c r="C42" s="571">
        <v>182941942815.32971</v>
      </c>
      <c r="D42" s="571">
        <v>192454923841.72687</v>
      </c>
      <c r="E42" s="571">
        <v>209968321911.32401</v>
      </c>
      <c r="F42" s="571">
        <v>232854868999.65833</v>
      </c>
      <c r="G42" s="571">
        <v>268248809087.60635</v>
      </c>
      <c r="H42" s="571">
        <v>304462398314.43323</v>
      </c>
      <c r="I42" s="571">
        <v>331255089366.10339</v>
      </c>
      <c r="J42" s="571">
        <v>369680679732.57141</v>
      </c>
      <c r="K42" s="571">
        <v>411454596542.35199</v>
      </c>
      <c r="L42" s="571">
        <v>428324235000.58838</v>
      </c>
      <c r="M42" s="571">
        <v>444600555930.61078</v>
      </c>
      <c r="N42" s="571">
        <v>485503807076.22699</v>
      </c>
      <c r="O42" s="571">
        <v>554445347681.05115</v>
      </c>
      <c r="P42" s="571">
        <v>632067696356.39819</v>
      </c>
      <c r="Q42" s="571">
        <v>714868564579.0863</v>
      </c>
      <c r="R42" s="571">
        <v>792789238118.20667</v>
      </c>
      <c r="S42" s="571">
        <v>872068161930.02734</v>
      </c>
      <c r="T42" s="571">
        <v>953170500989.5199</v>
      </c>
      <c r="U42" s="571">
        <v>1027517800066.7025</v>
      </c>
      <c r="V42" s="571">
        <v>1105609152871.772</v>
      </c>
      <c r="W42" s="571">
        <v>1198480321713.001</v>
      </c>
      <c r="X42" s="571">
        <v>1297954188415.1799</v>
      </c>
      <c r="Y42" s="571">
        <v>1416068019560.9612</v>
      </c>
      <c r="Z42" s="571">
        <v>1557674821517.0574</v>
      </c>
      <c r="AA42" s="571">
        <v>1714999978490.28</v>
      </c>
      <c r="AB42" s="571">
        <v>1908794976059.6816</v>
      </c>
      <c r="AC42" s="571">
        <v>2151211938019.2612</v>
      </c>
      <c r="AD42" s="571">
        <v>2456684033217.9961</v>
      </c>
      <c r="AE42" s="571">
        <v>2692525700406.9238</v>
      </c>
      <c r="AF42" s="571">
        <v>2940225014706.4712</v>
      </c>
      <c r="AG42" s="571">
        <v>3243068543946.3838</v>
      </c>
    </row>
    <row r="43" spans="1:33">
      <c r="A43" s="22">
        <v>100</v>
      </c>
      <c r="B43" s="22" t="s">
        <v>23</v>
      </c>
      <c r="C43" s="572">
        <v>54283406010.762138</v>
      </c>
      <c r="D43" s="572">
        <v>55511957161.244949</v>
      </c>
      <c r="E43" s="572">
        <v>56038477149.762451</v>
      </c>
      <c r="F43" s="572">
        <v>56926337502.928246</v>
      </c>
      <c r="G43" s="572">
        <v>58836273631.00174</v>
      </c>
      <c r="H43" s="572">
        <v>60653293471.996521</v>
      </c>
      <c r="I43" s="572">
        <v>64194410100.9944</v>
      </c>
      <c r="J43" s="572">
        <v>67642617208.826981</v>
      </c>
      <c r="K43" s="572">
        <v>70388786388.780838</v>
      </c>
      <c r="L43" s="572">
        <v>72794271537.330963</v>
      </c>
      <c r="M43" s="572">
        <v>77192529433.112259</v>
      </c>
      <c r="N43" s="572">
        <v>78950382026.400055</v>
      </c>
      <c r="O43" s="572">
        <v>82923700136.12825</v>
      </c>
      <c r="P43" s="572">
        <v>84885385124.61644</v>
      </c>
      <c r="Q43" s="572">
        <v>89839136186.84436</v>
      </c>
      <c r="R43" s="572">
        <v>94512961180.633759</v>
      </c>
      <c r="S43" s="572">
        <v>96456010346.659882</v>
      </c>
      <c r="T43" s="572">
        <v>99764734771.910965</v>
      </c>
      <c r="U43" s="572">
        <v>100333178357.92667</v>
      </c>
      <c r="V43" s="572">
        <v>96115156245.271408</v>
      </c>
      <c r="W43" s="572">
        <v>100363791870.83203</v>
      </c>
      <c r="X43" s="572">
        <v>102048140770.44191</v>
      </c>
      <c r="Y43" s="572">
        <v>104603036182.30045</v>
      </c>
      <c r="Z43" s="572">
        <v>108702006197.4632</v>
      </c>
      <c r="AA43" s="572">
        <v>114498365687.52051</v>
      </c>
      <c r="AB43" s="572">
        <v>119887295311.92622</v>
      </c>
      <c r="AC43" s="572">
        <v>127916765207.49269</v>
      </c>
      <c r="AD43" s="572">
        <v>136743824883.30965</v>
      </c>
      <c r="AE43" s="572">
        <v>141593861545.27478</v>
      </c>
      <c r="AF43" s="572">
        <v>143649690616.50818</v>
      </c>
      <c r="AG43" s="572">
        <v>149836914917.12573</v>
      </c>
    </row>
    <row r="44" spans="1:33">
      <c r="A44" s="22">
        <v>581</v>
      </c>
      <c r="B44" s="22" t="s">
        <v>125</v>
      </c>
      <c r="C44" s="573">
        <v>135611414.10986477</v>
      </c>
      <c r="D44" s="573">
        <v>140852688.38597816</v>
      </c>
      <c r="E44" s="573">
        <v>149844193.50145715</v>
      </c>
      <c r="F44" s="573">
        <v>157068223.94418201</v>
      </c>
      <c r="G44" s="573">
        <v>163524143.08068195</v>
      </c>
      <c r="H44" s="573">
        <v>167253101.60454834</v>
      </c>
      <c r="I44" s="573">
        <v>170376071.30039579</v>
      </c>
      <c r="J44" s="573">
        <v>173166816.19988194</v>
      </c>
      <c r="K44" s="573">
        <v>177820706.75912693</v>
      </c>
      <c r="L44" s="573">
        <v>172164807.40210074</v>
      </c>
      <c r="M44" s="573">
        <v>180930393.84535891</v>
      </c>
      <c r="N44" s="573">
        <v>171168115.49247816</v>
      </c>
      <c r="O44" s="573">
        <v>185770336.36662102</v>
      </c>
      <c r="P44" s="573">
        <v>191354476.52981251</v>
      </c>
      <c r="Q44" s="573">
        <v>181257309.23806357</v>
      </c>
      <c r="R44" s="573">
        <v>187800932.78959978</v>
      </c>
      <c r="S44" s="573">
        <v>185375167.45523632</v>
      </c>
      <c r="T44" s="573">
        <v>192846418.24285468</v>
      </c>
      <c r="U44" s="573">
        <v>195319986.82180765</v>
      </c>
      <c r="V44" s="573">
        <v>199078184.913551</v>
      </c>
      <c r="W44" s="573">
        <v>201900820.25544026</v>
      </c>
      <c r="X44" s="573">
        <v>208622519.67129529</v>
      </c>
      <c r="Y44" s="573">
        <v>217279132.95616668</v>
      </c>
      <c r="Z44" s="573">
        <v>222655960.91910645</v>
      </c>
      <c r="AA44" s="573">
        <v>222121733.32615</v>
      </c>
      <c r="AB44" s="573">
        <v>231517228.55550843</v>
      </c>
      <c r="AC44" s="573">
        <v>234393020.87182125</v>
      </c>
      <c r="AD44" s="573">
        <v>235543869.3680906</v>
      </c>
      <c r="AE44" s="573">
        <v>237840250.66318694</v>
      </c>
      <c r="AF44" s="573">
        <v>242145965.59149262</v>
      </c>
      <c r="AG44" s="573">
        <v>247231030.86891395</v>
      </c>
    </row>
    <row r="45" spans="1:33">
      <c r="A45" s="22">
        <v>484</v>
      </c>
      <c r="B45" s="22" t="s">
        <v>103</v>
      </c>
      <c r="C45" s="575">
        <v>1746408547.8925023</v>
      </c>
      <c r="D45" s="575">
        <v>2054120886.8825545</v>
      </c>
      <c r="E45" s="575">
        <v>2538846170.7246866</v>
      </c>
      <c r="F45" s="575">
        <v>2687469282.0827107</v>
      </c>
      <c r="G45" s="575">
        <v>2874950661.1679764</v>
      </c>
      <c r="H45" s="575">
        <v>2840863496.5477586</v>
      </c>
      <c r="I45" s="575">
        <v>2645936896.9818673</v>
      </c>
      <c r="J45" s="575">
        <v>2650947683.1222749</v>
      </c>
      <c r="K45" s="575">
        <v>2697770402.8588066</v>
      </c>
      <c r="L45" s="575">
        <v>2767909101.9338384</v>
      </c>
      <c r="M45" s="575">
        <v>2795588291.666605</v>
      </c>
      <c r="N45" s="575">
        <v>2862682410.6666069</v>
      </c>
      <c r="O45" s="575">
        <v>2937112153.3439384</v>
      </c>
      <c r="P45" s="575">
        <v>2907741031.8104959</v>
      </c>
      <c r="Q45" s="575">
        <v>2747815275.0609217</v>
      </c>
      <c r="R45" s="575">
        <v>2857727886.0633578</v>
      </c>
      <c r="S45" s="575">
        <v>2980610185.1640763</v>
      </c>
      <c r="T45" s="575">
        <v>2962726524.0530944</v>
      </c>
      <c r="U45" s="575">
        <v>3072347405.4430599</v>
      </c>
      <c r="V45" s="575">
        <v>2992466372.9015388</v>
      </c>
      <c r="W45" s="575">
        <v>3219893817.2420573</v>
      </c>
      <c r="X45" s="575">
        <v>3342249782.297255</v>
      </c>
      <c r="Y45" s="575">
        <v>3495993272.2829289</v>
      </c>
      <c r="Z45" s="575">
        <v>3523961218.4611902</v>
      </c>
      <c r="AA45" s="575">
        <v>3647299861.1073341</v>
      </c>
      <c r="AB45" s="575">
        <v>3931789250.2737064</v>
      </c>
      <c r="AC45" s="575">
        <v>4173100882.44033</v>
      </c>
      <c r="AD45" s="575">
        <v>4106748578.4095292</v>
      </c>
      <c r="AE45" s="575">
        <v>4335494474.2269373</v>
      </c>
      <c r="AF45" s="575">
        <v>4659307268.5026865</v>
      </c>
      <c r="AG45" s="575">
        <v>5067059616.8651247</v>
      </c>
    </row>
    <row r="46" spans="1:33">
      <c r="A46" s="22">
        <v>94</v>
      </c>
      <c r="B46" s="22" t="s">
        <v>21</v>
      </c>
      <c r="C46" s="576">
        <v>7473020531.0473337</v>
      </c>
      <c r="D46" s="576">
        <v>7304006550.6710272</v>
      </c>
      <c r="E46" s="576">
        <v>6771868124.8299513</v>
      </c>
      <c r="F46" s="576">
        <v>6965746215.059967</v>
      </c>
      <c r="G46" s="576">
        <v>7397741147.6345243</v>
      </c>
      <c r="H46" s="576">
        <v>7474782130.6604652</v>
      </c>
      <c r="I46" s="576">
        <v>7907194502.3068495</v>
      </c>
      <c r="J46" s="576">
        <v>8450848889.9862766</v>
      </c>
      <c r="K46" s="576">
        <v>8773620017.2106705</v>
      </c>
      <c r="L46" s="576">
        <v>9218062904.6617851</v>
      </c>
      <c r="M46" s="576">
        <v>9578020684.1086941</v>
      </c>
      <c r="N46" s="576">
        <v>9824359310.5664177</v>
      </c>
      <c r="O46" s="576">
        <v>10723486281.234821</v>
      </c>
      <c r="P46" s="576">
        <v>11518491952.025839</v>
      </c>
      <c r="Q46" s="576">
        <v>12063270098.199993</v>
      </c>
      <c r="R46" s="576">
        <v>12536256860.141548</v>
      </c>
      <c r="S46" s="576">
        <v>12647402444.615927</v>
      </c>
      <c r="T46" s="576">
        <v>13352898208.133509</v>
      </c>
      <c r="U46" s="576">
        <v>14474254065.082428</v>
      </c>
      <c r="V46" s="576">
        <v>15664354699.354664</v>
      </c>
      <c r="W46" s="576">
        <v>15946443260.833477</v>
      </c>
      <c r="X46" s="576">
        <v>16118090925.291304</v>
      </c>
      <c r="Y46" s="576">
        <v>16585867507.481987</v>
      </c>
      <c r="Z46" s="576">
        <v>17648111590.793648</v>
      </c>
      <c r="AA46" s="576">
        <v>18399824531.014751</v>
      </c>
      <c r="AB46" s="576">
        <v>19482907711.102753</v>
      </c>
      <c r="AC46" s="576">
        <v>21193436300.876759</v>
      </c>
      <c r="AD46" s="576">
        <v>22845564459.936893</v>
      </c>
      <c r="AE46" s="576">
        <v>23441548477.844387</v>
      </c>
      <c r="AF46" s="576">
        <v>23089925250.676716</v>
      </c>
      <c r="AG46" s="576">
        <v>23898072634.450451</v>
      </c>
    </row>
    <row r="47" spans="1:33">
      <c r="A47" s="22">
        <v>344</v>
      </c>
      <c r="B47" s="22" t="s">
        <v>58</v>
      </c>
      <c r="C47" s="578"/>
      <c r="D47" s="578"/>
      <c r="E47" s="578"/>
      <c r="F47" s="578"/>
      <c r="G47" s="578"/>
      <c r="H47" s="578"/>
      <c r="I47" s="578"/>
      <c r="J47" s="578"/>
      <c r="K47" s="578"/>
      <c r="L47" s="578"/>
      <c r="M47" s="578">
        <v>25118504474.066658</v>
      </c>
      <c r="N47" s="578">
        <v>19821345810.187901</v>
      </c>
      <c r="O47" s="578">
        <v>17499613962.360031</v>
      </c>
      <c r="P47" s="578">
        <v>16095168095.828543</v>
      </c>
      <c r="Q47" s="578">
        <v>17040030854.307869</v>
      </c>
      <c r="R47" s="578">
        <v>18190549530.61692</v>
      </c>
      <c r="S47" s="578">
        <v>19267482898.779678</v>
      </c>
      <c r="T47" s="578">
        <v>20528278103.44352</v>
      </c>
      <c r="U47" s="578">
        <v>20934074110.964954</v>
      </c>
      <c r="V47" s="578">
        <v>20715758261.794685</v>
      </c>
      <c r="W47" s="578">
        <v>21492679530.982628</v>
      </c>
      <c r="X47" s="578">
        <v>22278451453.095818</v>
      </c>
      <c r="Y47" s="578">
        <v>23365253510.38369</v>
      </c>
      <c r="Z47" s="578">
        <v>24620217078.220989</v>
      </c>
      <c r="AA47" s="578">
        <v>25636647287.903831</v>
      </c>
      <c r="AB47" s="578">
        <v>26733846005.838512</v>
      </c>
      <c r="AC47" s="578">
        <v>28053225385.540199</v>
      </c>
      <c r="AD47" s="578">
        <v>29472698770.693798</v>
      </c>
      <c r="AE47" s="578">
        <v>30112052570.604736</v>
      </c>
      <c r="AF47" s="578">
        <v>28308023571.775314</v>
      </c>
      <c r="AG47" s="578">
        <v>27970797366.450077</v>
      </c>
    </row>
    <row r="48" spans="1:33">
      <c r="A48" s="22">
        <v>40</v>
      </c>
      <c r="B48" s="22" t="s">
        <v>3</v>
      </c>
      <c r="C48" s="579">
        <v>23661507784.671169</v>
      </c>
      <c r="D48" s="579">
        <v>28320064581.562828</v>
      </c>
      <c r="E48" s="579">
        <v>30845714423.424797</v>
      </c>
      <c r="F48" s="579">
        <v>32514921212.048813</v>
      </c>
      <c r="G48" s="579">
        <v>35093262305.452148</v>
      </c>
      <c r="H48" s="579">
        <v>35653587490.609207</v>
      </c>
      <c r="I48" s="579">
        <v>35687566630.281303</v>
      </c>
      <c r="J48" s="579">
        <v>34830289638.44677</v>
      </c>
      <c r="K48" s="579">
        <v>36120939924.70919</v>
      </c>
      <c r="L48" s="579">
        <v>36366592396.028435</v>
      </c>
      <c r="M48" s="579">
        <v>35294299862.525467</v>
      </c>
      <c r="N48" s="579">
        <v>31520387178.621357</v>
      </c>
      <c r="O48" s="579">
        <v>27870136282.61483</v>
      </c>
      <c r="P48" s="579">
        <v>23723567128.403019</v>
      </c>
      <c r="Q48" s="579">
        <v>23893648507.296669</v>
      </c>
      <c r="R48" s="579">
        <v>24480763484.091007</v>
      </c>
      <c r="S48" s="579">
        <v>26399749343.113628</v>
      </c>
      <c r="T48" s="579">
        <v>27132386352.023865</v>
      </c>
      <c r="U48" s="579">
        <v>27176244020.829891</v>
      </c>
      <c r="V48" s="579">
        <v>28858666984.20253</v>
      </c>
      <c r="W48" s="579">
        <v>30565800000</v>
      </c>
      <c r="X48" s="579">
        <v>31539333277.572052</v>
      </c>
      <c r="Y48" s="579">
        <v>31988927867.796864</v>
      </c>
      <c r="Z48" s="579">
        <v>33202394684.715553</v>
      </c>
      <c r="AA48" s="579">
        <v>35118226022.075851</v>
      </c>
      <c r="AB48" s="579">
        <v>39051403154.594017</v>
      </c>
      <c r="AC48" s="579">
        <v>43763963152.774155</v>
      </c>
      <c r="AD48" s="579">
        <v>46941504742.739838</v>
      </c>
      <c r="AE48" s="579">
        <v>48964412973.941513</v>
      </c>
      <c r="AF48" s="579"/>
      <c r="AG48" s="579"/>
    </row>
    <row r="49" spans="1:33">
      <c r="A49" s="22">
        <v>352</v>
      </c>
      <c r="B49" s="22" t="s">
        <v>63</v>
      </c>
      <c r="C49" s="580">
        <v>3384057666.2808361</v>
      </c>
      <c r="D49" s="580">
        <v>3469234326.5947971</v>
      </c>
      <c r="E49" s="580">
        <v>3678141623.6696362</v>
      </c>
      <c r="F49" s="580">
        <v>3883462148.4719934</v>
      </c>
      <c r="G49" s="580">
        <v>4223571631.9295063</v>
      </c>
      <c r="H49" s="580">
        <v>4429789232.3482189</v>
      </c>
      <c r="I49" s="580">
        <v>4593866466.595768</v>
      </c>
      <c r="J49" s="580">
        <v>4918434545.3666115</v>
      </c>
      <c r="K49" s="580">
        <v>5343720689.1380949</v>
      </c>
      <c r="L49" s="580">
        <v>5768408910.0147543</v>
      </c>
      <c r="M49" s="580">
        <v>6195501905.7122459</v>
      </c>
      <c r="N49" s="580">
        <v>6241317642.3049879</v>
      </c>
      <c r="O49" s="580">
        <v>6828001500.6816559</v>
      </c>
      <c r="P49" s="580">
        <v>6875797511.1864252</v>
      </c>
      <c r="Q49" s="580">
        <v>7281469564.346427</v>
      </c>
      <c r="R49" s="580">
        <v>7725639207.7715588</v>
      </c>
      <c r="S49" s="580">
        <v>7868473649.5336637</v>
      </c>
      <c r="T49" s="580">
        <v>8053266111.2315235</v>
      </c>
      <c r="U49" s="580">
        <v>8459413301.5194387</v>
      </c>
      <c r="V49" s="580">
        <v>8869426105.9281025</v>
      </c>
      <c r="W49" s="580">
        <v>9316693766.4256039</v>
      </c>
      <c r="X49" s="580">
        <v>9688002109.4501324</v>
      </c>
      <c r="Y49" s="580">
        <v>9891784400.5162144</v>
      </c>
      <c r="Z49" s="580">
        <v>10080361942.70739</v>
      </c>
      <c r="AA49" s="580">
        <v>10503727222.558161</v>
      </c>
      <c r="AB49" s="580">
        <v>10918427084.088234</v>
      </c>
      <c r="AC49" s="580">
        <v>11370752256.393757</v>
      </c>
      <c r="AD49" s="580">
        <v>11876197409.408745</v>
      </c>
      <c r="AE49" s="580">
        <v>12300150829.56259</v>
      </c>
      <c r="AF49" s="580">
        <v>12174288936.726135</v>
      </c>
      <c r="AG49" s="580"/>
    </row>
    <row r="50" spans="1:33">
      <c r="A50" s="22">
        <v>316</v>
      </c>
      <c r="B50" s="22" t="s">
        <v>51</v>
      </c>
      <c r="C50" s="581"/>
      <c r="D50" s="581"/>
      <c r="E50" s="581"/>
      <c r="F50" s="581"/>
      <c r="G50" s="581"/>
      <c r="H50" s="581"/>
      <c r="I50" s="581"/>
      <c r="J50" s="581"/>
      <c r="K50" s="581"/>
      <c r="L50" s="581"/>
      <c r="M50" s="581">
        <v>55298472529.440742</v>
      </c>
      <c r="N50" s="581">
        <v>48877379024.055916</v>
      </c>
      <c r="O50" s="581">
        <v>48625571435.609337</v>
      </c>
      <c r="P50" s="581">
        <v>48656093567.542328</v>
      </c>
      <c r="Q50" s="581">
        <v>49735813984.668678</v>
      </c>
      <c r="R50" s="581">
        <v>52692645515.668922</v>
      </c>
      <c r="S50" s="581">
        <v>54814810016.711784</v>
      </c>
      <c r="T50" s="581">
        <v>54414193364.511398</v>
      </c>
      <c r="U50" s="581">
        <v>54001191848.790657</v>
      </c>
      <c r="V50" s="581">
        <v>54724540425.697289</v>
      </c>
      <c r="W50" s="581">
        <v>56720835330.543716</v>
      </c>
      <c r="X50" s="581">
        <v>58114106566.827744</v>
      </c>
      <c r="Y50" s="581">
        <v>59216437149.408607</v>
      </c>
      <c r="Z50" s="581">
        <v>61349587387.130623</v>
      </c>
      <c r="AA50" s="581">
        <v>64100892591.105179</v>
      </c>
      <c r="AB50" s="581">
        <v>68149732481.766006</v>
      </c>
      <c r="AC50" s="581">
        <v>72789262996.981506</v>
      </c>
      <c r="AD50" s="581">
        <v>77251985335.077927</v>
      </c>
      <c r="AE50" s="581">
        <v>79155212395.227432</v>
      </c>
      <c r="AF50" s="581">
        <v>75871098962.31427</v>
      </c>
      <c r="AG50" s="581">
        <v>77630138228.549973</v>
      </c>
    </row>
    <row r="51" spans="1:33">
      <c r="A51" s="22">
        <v>390</v>
      </c>
      <c r="B51" s="22" t="s">
        <v>79</v>
      </c>
      <c r="C51" s="582">
        <v>100879736734.66856</v>
      </c>
      <c r="D51" s="582">
        <v>99985030495.725586</v>
      </c>
      <c r="E51" s="582">
        <v>103698457275.0553</v>
      </c>
      <c r="F51" s="582">
        <v>106448392324.72682</v>
      </c>
      <c r="G51" s="582">
        <v>110882582177.62981</v>
      </c>
      <c r="H51" s="582">
        <v>115344979030.32246</v>
      </c>
      <c r="I51" s="582">
        <v>121053679900.03828</v>
      </c>
      <c r="J51" s="582">
        <v>121404659103.56169</v>
      </c>
      <c r="K51" s="582">
        <v>121231458227.66013</v>
      </c>
      <c r="L51" s="582">
        <v>121925993740.02544</v>
      </c>
      <c r="M51" s="582">
        <v>123885885365.76309</v>
      </c>
      <c r="N51" s="582">
        <v>125496900941.47043</v>
      </c>
      <c r="O51" s="582">
        <v>127976024050.17874</v>
      </c>
      <c r="P51" s="582">
        <v>127861340327.34964</v>
      </c>
      <c r="Q51" s="582">
        <v>134926204055.37477</v>
      </c>
      <c r="R51" s="582">
        <v>139061993542.0816</v>
      </c>
      <c r="S51" s="582">
        <v>143003798047.77866</v>
      </c>
      <c r="T51" s="582">
        <v>147577785750.51648</v>
      </c>
      <c r="U51" s="582">
        <v>150766042731.13037</v>
      </c>
      <c r="V51" s="582">
        <v>154626319110.24237</v>
      </c>
      <c r="W51" s="582">
        <v>160082641560.78732</v>
      </c>
      <c r="X51" s="582">
        <v>161211045267.28607</v>
      </c>
      <c r="Y51" s="582">
        <v>161961994779.23074</v>
      </c>
      <c r="Z51" s="582">
        <v>162583538493.89468</v>
      </c>
      <c r="AA51" s="582">
        <v>166317254518.68716</v>
      </c>
      <c r="AB51" s="582">
        <v>170384011084.85608</v>
      </c>
      <c r="AC51" s="582">
        <v>176168054335.58911</v>
      </c>
      <c r="AD51" s="582">
        <v>178957330727.07257</v>
      </c>
      <c r="AE51" s="582">
        <v>176950551149.93015</v>
      </c>
      <c r="AF51" s="582">
        <v>167732058244.98032</v>
      </c>
      <c r="AG51" s="582">
        <v>171232571661.86246</v>
      </c>
    </row>
    <row r="52" spans="1:33">
      <c r="A52" s="22">
        <v>522</v>
      </c>
      <c r="B52" s="22" t="s">
        <v>111</v>
      </c>
      <c r="C52" s="583"/>
      <c r="D52" s="583"/>
      <c r="E52" s="583"/>
      <c r="F52" s="583"/>
      <c r="G52" s="583"/>
      <c r="H52" s="583"/>
      <c r="I52" s="583"/>
      <c r="J52" s="583"/>
      <c r="K52" s="583"/>
      <c r="L52" s="583"/>
      <c r="M52" s="583">
        <v>660030923.30471492</v>
      </c>
      <c r="N52" s="583">
        <v>631797330.46987283</v>
      </c>
      <c r="O52" s="583">
        <v>631683815.33288229</v>
      </c>
      <c r="P52" s="583">
        <v>589860779.81953371</v>
      </c>
      <c r="Q52" s="583">
        <v>584331764.28360176</v>
      </c>
      <c r="R52" s="583">
        <v>563948745.77565682</v>
      </c>
      <c r="S52" s="583">
        <v>540739442.02314782</v>
      </c>
      <c r="T52" s="583">
        <v>536706216.85510409</v>
      </c>
      <c r="U52" s="583">
        <v>537239587.72766018</v>
      </c>
      <c r="V52" s="583">
        <v>548946071.65163398</v>
      </c>
      <c r="W52" s="583">
        <v>551230861.85650539</v>
      </c>
      <c r="X52" s="583">
        <v>562518771.06911898</v>
      </c>
      <c r="Y52" s="583">
        <v>577248676.08962739</v>
      </c>
      <c r="Z52" s="583">
        <v>595720398.94307697</v>
      </c>
      <c r="AA52" s="583">
        <v>618515497.55930793</v>
      </c>
      <c r="AB52" s="583">
        <v>638119971.92002273</v>
      </c>
      <c r="AC52" s="583">
        <v>668748867.0852859</v>
      </c>
      <c r="AD52" s="583">
        <v>702855469.83387136</v>
      </c>
      <c r="AE52" s="583">
        <v>743620824.3468051</v>
      </c>
      <c r="AF52" s="583">
        <v>780798170.81902325</v>
      </c>
      <c r="AG52" s="583"/>
    </row>
    <row r="53" spans="1:33">
      <c r="A53" s="22">
        <v>54</v>
      </c>
      <c r="B53" s="22" t="s">
        <v>9</v>
      </c>
      <c r="C53" s="584">
        <v>134884616.81873479</v>
      </c>
      <c r="D53" s="584">
        <v>151184583.04311794</v>
      </c>
      <c r="E53" s="584">
        <v>157435181.69120109</v>
      </c>
      <c r="F53" s="584">
        <v>161672870.21750313</v>
      </c>
      <c r="G53" s="584">
        <v>170445886.36861932</v>
      </c>
      <c r="H53" s="584">
        <v>172635358.77387536</v>
      </c>
      <c r="I53" s="584">
        <v>184854027.35804617</v>
      </c>
      <c r="J53" s="584">
        <v>198752628.6790705</v>
      </c>
      <c r="K53" s="584">
        <v>215763921.19179723</v>
      </c>
      <c r="L53" s="584">
        <v>215239254.99330267</v>
      </c>
      <c r="M53" s="584">
        <v>226549863.60826984</v>
      </c>
      <c r="N53" s="584">
        <v>227927104.30753034</v>
      </c>
      <c r="O53" s="584">
        <v>232593598.48196813</v>
      </c>
      <c r="P53" s="584">
        <v>236503378.70599875</v>
      </c>
      <c r="Q53" s="584">
        <v>239888492.73153484</v>
      </c>
      <c r="R53" s="584">
        <v>244625615.04807764</v>
      </c>
      <c r="S53" s="584">
        <v>251088098.12247589</v>
      </c>
      <c r="T53" s="584">
        <v>254831373.51046735</v>
      </c>
      <c r="U53" s="584">
        <v>267517091.87275037</v>
      </c>
      <c r="V53" s="584">
        <v>269345028.90830535</v>
      </c>
      <c r="W53" s="584">
        <v>271166661.87769067</v>
      </c>
      <c r="X53" s="584">
        <v>260996209.41456583</v>
      </c>
      <c r="Y53" s="584">
        <v>250528109.78114119</v>
      </c>
      <c r="Z53" s="584">
        <v>256001790.7942813</v>
      </c>
      <c r="AA53" s="584">
        <v>272079782.85776293</v>
      </c>
      <c r="AB53" s="584">
        <v>281261441.33141732</v>
      </c>
      <c r="AC53" s="584">
        <v>298842803.84827751</v>
      </c>
      <c r="AD53" s="584">
        <v>313356887.05086195</v>
      </c>
      <c r="AE53" s="584">
        <v>324470729.69781834</v>
      </c>
      <c r="AF53" s="584">
        <v>321453899.05647475</v>
      </c>
      <c r="AG53" s="584">
        <v>326872086.5293895</v>
      </c>
    </row>
    <row r="54" spans="1:33">
      <c r="A54" s="22">
        <v>42</v>
      </c>
      <c r="B54" s="22" t="s">
        <v>5</v>
      </c>
      <c r="C54" s="585">
        <v>10534042898.07259</v>
      </c>
      <c r="D54" s="585">
        <v>10984885966.633379</v>
      </c>
      <c r="E54" s="585">
        <v>11171487179.788588</v>
      </c>
      <c r="F54" s="585">
        <v>11688497606.155226</v>
      </c>
      <c r="G54" s="585">
        <v>11834942323.754599</v>
      </c>
      <c r="H54" s="585">
        <v>11583741530.792173</v>
      </c>
      <c r="I54" s="585">
        <v>11991720123.617674</v>
      </c>
      <c r="J54" s="585">
        <v>13204966506.648968</v>
      </c>
      <c r="K54" s="585">
        <v>13489660738.673048</v>
      </c>
      <c r="L54" s="585">
        <v>14083278499.063686</v>
      </c>
      <c r="M54" s="585">
        <v>13315132485.046841</v>
      </c>
      <c r="N54" s="585">
        <v>13440845832.806593</v>
      </c>
      <c r="O54" s="585">
        <v>14853906415.880648</v>
      </c>
      <c r="P54" s="585">
        <v>15926747834.833252</v>
      </c>
      <c r="Q54" s="585">
        <v>16293581672.698792</v>
      </c>
      <c r="R54" s="585">
        <v>17188690648.862</v>
      </c>
      <c r="S54" s="585">
        <v>18414479323.434788</v>
      </c>
      <c r="T54" s="585">
        <v>19888424784.128811</v>
      </c>
      <c r="U54" s="585">
        <v>21282722240.009304</v>
      </c>
      <c r="V54" s="585">
        <v>22711932398.027092</v>
      </c>
      <c r="W54" s="585">
        <v>23996656675.833515</v>
      </c>
      <c r="X54" s="585">
        <v>24430811263.73423</v>
      </c>
      <c r="Y54" s="585">
        <v>25844917267.708214</v>
      </c>
      <c r="Z54" s="585">
        <v>25779436894.048965</v>
      </c>
      <c r="AA54" s="585">
        <v>26117652334.778881</v>
      </c>
      <c r="AB54" s="585">
        <v>28536865195.230743</v>
      </c>
      <c r="AC54" s="585">
        <v>31582078268.521786</v>
      </c>
      <c r="AD54" s="585">
        <v>34258540898.964081</v>
      </c>
      <c r="AE54" s="585">
        <v>36059049713.2742</v>
      </c>
      <c r="AF54" s="585">
        <v>37304548927.73111</v>
      </c>
      <c r="AG54" s="585">
        <v>40196106908.334312</v>
      </c>
    </row>
    <row r="55" spans="1:33">
      <c r="A55" s="22">
        <v>490</v>
      </c>
      <c r="B55" s="22" t="s">
        <v>104</v>
      </c>
      <c r="C55" s="574">
        <v>7015838700.2136564</v>
      </c>
      <c r="D55" s="574">
        <v>7180747677.9283552</v>
      </c>
      <c r="E55" s="574">
        <v>7147883003.6786242</v>
      </c>
      <c r="F55" s="574">
        <v>7248789931.6846199</v>
      </c>
      <c r="G55" s="574">
        <v>7650450747.4305019</v>
      </c>
      <c r="H55" s="574">
        <v>7686243454.0103569</v>
      </c>
      <c r="I55" s="574">
        <v>8048819672.1980085</v>
      </c>
      <c r="J55" s="574">
        <v>8264177308.2354422</v>
      </c>
      <c r="K55" s="574">
        <v>8303050455.8622236</v>
      </c>
      <c r="L55" s="574">
        <v>8197929632.7935772</v>
      </c>
      <c r="M55" s="574">
        <v>7659464144.0218744</v>
      </c>
      <c r="N55" s="574">
        <v>7014456723.8759069</v>
      </c>
      <c r="O55" s="574">
        <v>6277938167.1588984</v>
      </c>
      <c r="P55" s="574">
        <v>5432359502.6111908</v>
      </c>
      <c r="Q55" s="574">
        <v>5220497655.7003756</v>
      </c>
      <c r="R55" s="574">
        <v>5257041078.1894674</v>
      </c>
      <c r="S55" s="574">
        <v>5203252472.0857458</v>
      </c>
      <c r="T55" s="574">
        <v>4910983356.1085176</v>
      </c>
      <c r="U55" s="574">
        <v>4831221421.2485209</v>
      </c>
      <c r="V55" s="574">
        <v>4624921462.7134247</v>
      </c>
      <c r="W55" s="574">
        <v>4305797175.652174</v>
      </c>
      <c r="X55" s="574">
        <v>4215380704.3918967</v>
      </c>
      <c r="Y55" s="574">
        <v>4361586317.7957706</v>
      </c>
      <c r="Z55" s="574">
        <v>4614184091.1176004</v>
      </c>
      <c r="AA55" s="574">
        <v>4920560759.3779392</v>
      </c>
      <c r="AB55" s="574">
        <v>5238595322.5776892</v>
      </c>
      <c r="AC55" s="574">
        <v>5504936840.2572184</v>
      </c>
      <c r="AD55" s="574">
        <v>5849359728.8047237</v>
      </c>
      <c r="AE55" s="574">
        <v>6211864821.3034296</v>
      </c>
      <c r="AF55" s="574">
        <v>6387933239.1263123</v>
      </c>
      <c r="AG55" s="574">
        <v>6850715769.4690399</v>
      </c>
    </row>
    <row r="56" spans="1:33">
      <c r="A56" s="22">
        <v>816</v>
      </c>
      <c r="B56" s="22" t="s">
        <v>171</v>
      </c>
      <c r="C56" s="720"/>
      <c r="D56" s="720"/>
      <c r="E56" s="720"/>
      <c r="F56" s="720"/>
      <c r="G56" s="720">
        <v>11453473961.755123</v>
      </c>
      <c r="H56" s="720">
        <v>11889376649.741161</v>
      </c>
      <c r="I56" s="720">
        <v>12221006030.964815</v>
      </c>
      <c r="J56" s="720">
        <v>12658942070.887499</v>
      </c>
      <c r="K56" s="720">
        <v>13308980223.656504</v>
      </c>
      <c r="L56" s="720">
        <v>14289121788.17415</v>
      </c>
      <c r="M56" s="720">
        <v>15017998193.56946</v>
      </c>
      <c r="N56" s="720">
        <v>15913197627.560757</v>
      </c>
      <c r="O56" s="720">
        <v>17289060246.775047</v>
      </c>
      <c r="P56" s="720">
        <v>18684759513.641953</v>
      </c>
      <c r="Q56" s="720">
        <v>20336301848.056232</v>
      </c>
      <c r="R56" s="720">
        <v>22276482694.176506</v>
      </c>
      <c r="S56" s="720">
        <v>24357110075.305088</v>
      </c>
      <c r="T56" s="720">
        <v>26342722183.520313</v>
      </c>
      <c r="U56" s="720">
        <v>27861236671.778648</v>
      </c>
      <c r="V56" s="720">
        <v>29191217010.309734</v>
      </c>
      <c r="W56" s="720">
        <v>31172517272.20982</v>
      </c>
      <c r="X56" s="720">
        <v>33321830052.271881</v>
      </c>
      <c r="Y56" s="720">
        <v>35681076633.443352</v>
      </c>
      <c r="Z56" s="720">
        <v>38300485720.402405</v>
      </c>
      <c r="AA56" s="720">
        <v>41283942095.669044</v>
      </c>
      <c r="AB56" s="720">
        <v>44769045610.393311</v>
      </c>
      <c r="AC56" s="720">
        <v>48453031029.180473</v>
      </c>
      <c r="AD56" s="720">
        <v>52550385537.225525</v>
      </c>
      <c r="AE56" s="720">
        <v>55866678638.535568</v>
      </c>
      <c r="AF56" s="720">
        <v>58840794626.555267</v>
      </c>
      <c r="AG56" s="720">
        <v>62832215474.360634</v>
      </c>
    </row>
    <row r="57" spans="1:33">
      <c r="A57" s="22">
        <v>130</v>
      </c>
      <c r="B57" s="22" t="s">
        <v>27</v>
      </c>
      <c r="C57" s="586">
        <v>10882444170.927088</v>
      </c>
      <c r="D57" s="586">
        <v>11248627500.585157</v>
      </c>
      <c r="E57" s="586">
        <v>11184595465.333748</v>
      </c>
      <c r="F57" s="586">
        <v>10901454001.552526</v>
      </c>
      <c r="G57" s="586">
        <v>11319663103.724228</v>
      </c>
      <c r="H57" s="586">
        <v>11649828669.68152</v>
      </c>
      <c r="I57" s="586">
        <v>12124065290.441921</v>
      </c>
      <c r="J57" s="586">
        <v>11863935403.36121</v>
      </c>
      <c r="K57" s="586">
        <v>12856431949.758062</v>
      </c>
      <c r="L57" s="586">
        <v>12982495147.223345</v>
      </c>
      <c r="M57" s="586">
        <v>13330669595.031029</v>
      </c>
      <c r="N57" s="586">
        <v>14023015720.058758</v>
      </c>
      <c r="O57" s="586">
        <v>14235121580.700912</v>
      </c>
      <c r="P57" s="586">
        <v>14277142988.026859</v>
      </c>
      <c r="Q57" s="586">
        <v>14948478409.391611</v>
      </c>
      <c r="R57" s="586">
        <v>15210610194.022423</v>
      </c>
      <c r="S57" s="586">
        <v>15575792574.905443</v>
      </c>
      <c r="T57" s="586">
        <v>16207108486.494347</v>
      </c>
      <c r="U57" s="586">
        <v>16549527222.717348</v>
      </c>
      <c r="V57" s="586">
        <v>15506997580.743891</v>
      </c>
      <c r="W57" s="586">
        <v>15941641913.46764</v>
      </c>
      <c r="X57" s="586">
        <v>16792401244.682226</v>
      </c>
      <c r="Y57" s="586">
        <v>17505426971.722649</v>
      </c>
      <c r="Z57" s="586">
        <v>18131384138.329418</v>
      </c>
      <c r="AA57" s="586">
        <v>19582025894.947906</v>
      </c>
      <c r="AB57" s="586">
        <v>20757561015.612568</v>
      </c>
      <c r="AC57" s="586">
        <v>21972993096.741608</v>
      </c>
      <c r="AD57" s="586">
        <v>22421217343.50148</v>
      </c>
      <c r="AE57" s="586">
        <v>24044029236.9044</v>
      </c>
      <c r="AF57" s="586">
        <v>24131072784.824287</v>
      </c>
      <c r="AG57" s="586">
        <v>24995505260.718319</v>
      </c>
    </row>
    <row r="58" spans="1:33">
      <c r="A58" s="22">
        <v>651</v>
      </c>
      <c r="B58" s="22" t="s">
        <v>136</v>
      </c>
      <c r="C58" s="587">
        <v>38506344421.766151</v>
      </c>
      <c r="D58" s="587">
        <v>39952673865.894501</v>
      </c>
      <c r="E58" s="587">
        <v>43910853498.743126</v>
      </c>
      <c r="F58" s="587">
        <v>47160756999.056389</v>
      </c>
      <c r="G58" s="587">
        <v>50033561716.720192</v>
      </c>
      <c r="H58" s="587">
        <v>53336802406.739212</v>
      </c>
      <c r="I58" s="587">
        <v>54748401321.241074</v>
      </c>
      <c r="J58" s="587">
        <v>56127744342.985016</v>
      </c>
      <c r="K58" s="587">
        <v>59102918305.738739</v>
      </c>
      <c r="L58" s="587">
        <v>62041739159.831902</v>
      </c>
      <c r="M58" s="587">
        <v>65579206064.034569</v>
      </c>
      <c r="N58" s="587">
        <v>66286699444.875107</v>
      </c>
      <c r="O58" s="587">
        <v>69224523386.205887</v>
      </c>
      <c r="P58" s="587">
        <v>71232581990.543365</v>
      </c>
      <c r="Q58" s="587">
        <v>74062775121.365448</v>
      </c>
      <c r="R58" s="587">
        <v>77501108924.926163</v>
      </c>
      <c r="S58" s="587">
        <v>81367430435.978897</v>
      </c>
      <c r="T58" s="587">
        <v>85835423038.145386</v>
      </c>
      <c r="U58" s="587">
        <v>89300055775.4207</v>
      </c>
      <c r="V58" s="587">
        <v>94752235333.477722</v>
      </c>
      <c r="W58" s="587">
        <v>99838540997.320999</v>
      </c>
      <c r="X58" s="587">
        <v>103368058729.0704</v>
      </c>
      <c r="Y58" s="587">
        <v>105818387281.58394</v>
      </c>
      <c r="Z58" s="587">
        <v>109197716207.21042</v>
      </c>
      <c r="AA58" s="587">
        <v>113666164952.26543</v>
      </c>
      <c r="AB58" s="587">
        <v>118749025399.76231</v>
      </c>
      <c r="AC58" s="587">
        <v>126876016554.826</v>
      </c>
      <c r="AD58" s="587">
        <v>135868769654.24358</v>
      </c>
      <c r="AE58" s="587">
        <v>145591924088.41544</v>
      </c>
      <c r="AF58" s="587">
        <v>156010895025.4624</v>
      </c>
      <c r="AG58" s="587">
        <v>164092259387.78137</v>
      </c>
    </row>
    <row r="59" spans="1:33">
      <c r="A59" s="22">
        <v>411</v>
      </c>
      <c r="B59" s="22" t="s">
        <v>84</v>
      </c>
      <c r="C59" s="589"/>
      <c r="D59" s="589"/>
      <c r="E59" s="589"/>
      <c r="F59" s="589"/>
      <c r="G59" s="589"/>
      <c r="H59" s="589">
        <v>194293740.81372124</v>
      </c>
      <c r="I59" s="589">
        <v>189765615.69867229</v>
      </c>
      <c r="J59" s="589">
        <v>198185017.82779527</v>
      </c>
      <c r="K59" s="589">
        <v>203447349.50097141</v>
      </c>
      <c r="L59" s="589">
        <v>200946619.40236977</v>
      </c>
      <c r="M59" s="589">
        <v>207499790.53967619</v>
      </c>
      <c r="N59" s="589">
        <v>205141003.67989188</v>
      </c>
      <c r="O59" s="589">
        <v>227081761.95618293</v>
      </c>
      <c r="P59" s="589">
        <v>241379315.62228534</v>
      </c>
      <c r="Q59" s="589">
        <v>253727370.23229998</v>
      </c>
      <c r="R59" s="589">
        <v>289915456.22704524</v>
      </c>
      <c r="S59" s="589">
        <v>374402170.18784302</v>
      </c>
      <c r="T59" s="589">
        <v>640931532.3453095</v>
      </c>
      <c r="U59" s="589">
        <v>781365388.08236623</v>
      </c>
      <c r="V59" s="589">
        <v>1105213629.5963371</v>
      </c>
      <c r="W59" s="589">
        <v>1254223037.3370938</v>
      </c>
      <c r="X59" s="589">
        <v>2030554289.5862408</v>
      </c>
      <c r="Y59" s="589">
        <v>2425757700.9106684</v>
      </c>
      <c r="Z59" s="589">
        <v>2764278260.2307348</v>
      </c>
      <c r="AA59" s="589">
        <v>3814668805.8459382</v>
      </c>
      <c r="AB59" s="589">
        <v>4186550476.5619097</v>
      </c>
      <c r="AC59" s="589">
        <v>4239290429.1129746</v>
      </c>
      <c r="AD59" s="589">
        <v>5148299306.7824612</v>
      </c>
      <c r="AE59" s="589">
        <v>5697997257.5133791</v>
      </c>
      <c r="AF59" s="589">
        <v>6001446516.3269196</v>
      </c>
      <c r="AG59" s="589">
        <v>6058175791.4548159</v>
      </c>
    </row>
    <row r="60" spans="1:33">
      <c r="A60" s="22">
        <v>531</v>
      </c>
      <c r="B60" s="22" t="s">
        <v>113</v>
      </c>
      <c r="C60" s="590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590"/>
      <c r="O60" s="590">
        <v>429588978.52798802</v>
      </c>
      <c r="P60" s="590">
        <v>487389152.28993422</v>
      </c>
      <c r="Q60" s="590">
        <v>590820007.44694054</v>
      </c>
      <c r="R60" s="590">
        <v>607707881.34541392</v>
      </c>
      <c r="S60" s="590">
        <v>663974581.10959411</v>
      </c>
      <c r="T60" s="590">
        <v>716486235.57155263</v>
      </c>
      <c r="U60" s="590">
        <v>729186545.86074221</v>
      </c>
      <c r="V60" s="590">
        <v>729284845.47598362</v>
      </c>
      <c r="W60" s="590">
        <v>633600000</v>
      </c>
      <c r="X60" s="590">
        <v>689847584.53350616</v>
      </c>
      <c r="Y60" s="590">
        <v>710580461.48479486</v>
      </c>
      <c r="Z60" s="590">
        <v>691710888.15493929</v>
      </c>
      <c r="AA60" s="590">
        <v>701787065.1067512</v>
      </c>
      <c r="AB60" s="590">
        <v>719793566.51137805</v>
      </c>
      <c r="AC60" s="590">
        <v>712889519.34069216</v>
      </c>
      <c r="AD60" s="590">
        <v>723058994.22724307</v>
      </c>
      <c r="AE60" s="590">
        <v>652245861.76034272</v>
      </c>
      <c r="AF60" s="590">
        <v>677529602.07461154</v>
      </c>
      <c r="AG60" s="590">
        <v>692457271.63285136</v>
      </c>
    </row>
    <row r="61" spans="1:33">
      <c r="A61" s="22">
        <v>366</v>
      </c>
      <c r="B61" s="22" t="s">
        <v>68</v>
      </c>
      <c r="C61" s="591">
        <v>5064117557.5911417</v>
      </c>
      <c r="D61" s="591">
        <v>5136543010.6635275</v>
      </c>
      <c r="E61" s="591">
        <v>5429329443.7439308</v>
      </c>
      <c r="F61" s="591">
        <v>5630208608.2306204</v>
      </c>
      <c r="G61" s="591">
        <v>5787867004.2088594</v>
      </c>
      <c r="H61" s="591">
        <v>5816801108.0016603</v>
      </c>
      <c r="I61" s="591">
        <v>5880928750.7594023</v>
      </c>
      <c r="J61" s="591">
        <v>6087075220.9241066</v>
      </c>
      <c r="K61" s="591">
        <v>6261094734.1966286</v>
      </c>
      <c r="L61" s="591">
        <v>6453134926.826396</v>
      </c>
      <c r="M61" s="591">
        <v>5997314559.7812977</v>
      </c>
      <c r="N61" s="591">
        <v>5517538775.1322126</v>
      </c>
      <c r="O61" s="591">
        <v>4349549960.6753922</v>
      </c>
      <c r="P61" s="591">
        <v>4099864296.5720425</v>
      </c>
      <c r="Q61" s="591">
        <v>4032527125.3347445</v>
      </c>
      <c r="R61" s="591">
        <v>4233195343.0187783</v>
      </c>
      <c r="S61" s="591">
        <v>4443861011.6712236</v>
      </c>
      <c r="T61" s="591">
        <v>4923869421.4851265</v>
      </c>
      <c r="U61" s="591">
        <v>5187690383.841795</v>
      </c>
      <c r="V61" s="591">
        <v>5180629164.0139275</v>
      </c>
      <c r="W61" s="591">
        <v>5675782344.973794</v>
      </c>
      <c r="X61" s="591">
        <v>6158952849.8621292</v>
      </c>
      <c r="Y61" s="591">
        <v>6648126580.3616982</v>
      </c>
      <c r="Z61" s="591">
        <v>7150971022.6492252</v>
      </c>
      <c r="AA61" s="591">
        <v>7667486176.7247124</v>
      </c>
      <c r="AB61" s="591">
        <v>8390845143.9397488</v>
      </c>
      <c r="AC61" s="591">
        <v>9277063895.0635128</v>
      </c>
      <c r="AD61" s="591">
        <v>9918992970.3241863</v>
      </c>
      <c r="AE61" s="591">
        <v>9416742906.8100471</v>
      </c>
      <c r="AF61" s="591">
        <v>8107920847.8063412</v>
      </c>
      <c r="AG61" s="591">
        <v>8252354889.7399931</v>
      </c>
    </row>
    <row r="62" spans="1:33">
      <c r="A62" s="22">
        <v>530</v>
      </c>
      <c r="B62" s="22" t="s">
        <v>112</v>
      </c>
      <c r="C62" s="592"/>
      <c r="D62" s="592">
        <v>5147105049.2748995</v>
      </c>
      <c r="E62" s="592">
        <v>5194255336.466938</v>
      </c>
      <c r="F62" s="592">
        <v>5622006404.2882433</v>
      </c>
      <c r="G62" s="592">
        <v>5461892869.7067251</v>
      </c>
      <c r="H62" s="592">
        <v>4853203034.8992434</v>
      </c>
      <c r="I62" s="592">
        <v>5322089426.9022055</v>
      </c>
      <c r="J62" s="592">
        <v>6059709673.4606228</v>
      </c>
      <c r="K62" s="592">
        <v>6090215652.839674</v>
      </c>
      <c r="L62" s="592">
        <v>6068236778.7437811</v>
      </c>
      <c r="M62" s="592">
        <v>6233682737.9628029</v>
      </c>
      <c r="N62" s="592">
        <v>5788766562.7138081</v>
      </c>
      <c r="O62" s="592">
        <v>5286719782.1269693</v>
      </c>
      <c r="P62" s="592">
        <v>5981544745.4886189</v>
      </c>
      <c r="Q62" s="592">
        <v>6172368103.0383348</v>
      </c>
      <c r="R62" s="592">
        <v>6550580456.5046015</v>
      </c>
      <c r="S62" s="592">
        <v>7364550132.9285145</v>
      </c>
      <c r="T62" s="592">
        <v>7595359797.5427856</v>
      </c>
      <c r="U62" s="592">
        <v>7332697406.7261448</v>
      </c>
      <c r="V62" s="592">
        <v>7711240982.3920507</v>
      </c>
      <c r="W62" s="592">
        <v>8179533779.1745958</v>
      </c>
      <c r="X62" s="592">
        <v>8858552228.8529339</v>
      </c>
      <c r="Y62" s="592">
        <v>8992734182.8254776</v>
      </c>
      <c r="Z62" s="592">
        <v>8798393779.7697353</v>
      </c>
      <c r="AA62" s="592">
        <v>9992543571.7793179</v>
      </c>
      <c r="AB62" s="592">
        <v>11173546750.440712</v>
      </c>
      <c r="AC62" s="592">
        <v>12384159131.252298</v>
      </c>
      <c r="AD62" s="592">
        <v>13802890302.184408</v>
      </c>
      <c r="AE62" s="592">
        <v>15292022591.4704</v>
      </c>
      <c r="AF62" s="592">
        <v>16636496550.790262</v>
      </c>
      <c r="AG62" s="592">
        <v>18322929015.15744</v>
      </c>
    </row>
    <row r="63" spans="1:33">
      <c r="A63" s="22">
        <v>860</v>
      </c>
      <c r="B63" s="22" t="s">
        <v>197</v>
      </c>
      <c r="C63" s="704"/>
      <c r="D63" s="704"/>
      <c r="E63" s="704"/>
      <c r="F63" s="704"/>
      <c r="G63" s="704"/>
      <c r="H63" s="704"/>
      <c r="I63" s="704"/>
      <c r="J63" s="704"/>
      <c r="K63" s="704"/>
      <c r="L63" s="704"/>
      <c r="M63" s="704"/>
      <c r="N63" s="704"/>
      <c r="O63" s="704"/>
      <c r="P63" s="704"/>
      <c r="Q63" s="704"/>
      <c r="R63" s="704"/>
      <c r="S63" s="704"/>
      <c r="T63" s="704"/>
      <c r="U63" s="704"/>
      <c r="V63" s="704">
        <v>278200000</v>
      </c>
      <c r="W63" s="704">
        <v>316200000</v>
      </c>
      <c r="X63" s="704">
        <v>276900000</v>
      </c>
      <c r="Y63" s="704">
        <v>283600000</v>
      </c>
      <c r="Z63" s="704">
        <v>283900000</v>
      </c>
      <c r="AA63" s="704">
        <v>295700000</v>
      </c>
      <c r="AB63" s="704">
        <v>314100000</v>
      </c>
      <c r="AC63" s="704">
        <v>296000000</v>
      </c>
      <c r="AD63" s="704">
        <v>319000000</v>
      </c>
      <c r="AE63" s="704">
        <v>361000000</v>
      </c>
      <c r="AF63" s="704">
        <v>386700000</v>
      </c>
      <c r="AG63" s="704">
        <v>415400000.00000006</v>
      </c>
    </row>
    <row r="64" spans="1:33">
      <c r="A64" s="22">
        <v>950</v>
      </c>
      <c r="B64" s="22" t="s">
        <v>184</v>
      </c>
      <c r="C64" s="593">
        <v>1164866034.8343217</v>
      </c>
      <c r="D64" s="593">
        <v>1238601961.8320143</v>
      </c>
      <c r="E64" s="593">
        <v>1164552296.2807844</v>
      </c>
      <c r="F64" s="593">
        <v>1118434636.6083152</v>
      </c>
      <c r="G64" s="593">
        <v>1212305127.319943</v>
      </c>
      <c r="H64" s="593">
        <v>1156375706.5556471</v>
      </c>
      <c r="I64" s="593">
        <v>1245993741.0948141</v>
      </c>
      <c r="J64" s="593">
        <v>1163571018.5953856</v>
      </c>
      <c r="K64" s="593">
        <v>1174691917.1134334</v>
      </c>
      <c r="L64" s="593">
        <v>1262072928.8065627</v>
      </c>
      <c r="M64" s="593">
        <v>1335273158.6773434</v>
      </c>
      <c r="N64" s="593">
        <v>1299220783.393055</v>
      </c>
      <c r="O64" s="593">
        <v>1378473251.1800313</v>
      </c>
      <c r="P64" s="593">
        <v>1407835172.2783334</v>
      </c>
      <c r="Q64" s="593">
        <v>1479634766.0645282</v>
      </c>
      <c r="R64" s="593">
        <v>1516625635.2161412</v>
      </c>
      <c r="S64" s="593">
        <v>1589423665.706516</v>
      </c>
      <c r="T64" s="593">
        <v>1554456345.0609727</v>
      </c>
      <c r="U64" s="593">
        <v>1574664277.5467651</v>
      </c>
      <c r="V64" s="593">
        <v>1713234733.9708805</v>
      </c>
      <c r="W64" s="593">
        <v>1684109743.4933758</v>
      </c>
      <c r="X64" s="593">
        <v>1717791938.3632433</v>
      </c>
      <c r="Y64" s="593">
        <v>1772761280.3908672</v>
      </c>
      <c r="Z64" s="593">
        <v>1790488893.1947758</v>
      </c>
      <c r="AA64" s="593">
        <v>1885384804.5340989</v>
      </c>
      <c r="AB64" s="593">
        <v>1898582498.1658373</v>
      </c>
      <c r="AC64" s="593">
        <v>1934655565.6309881</v>
      </c>
      <c r="AD64" s="593">
        <v>1917243665.540309</v>
      </c>
      <c r="AE64" s="593">
        <v>1921078152.8713896</v>
      </c>
      <c r="AF64" s="593">
        <v>1863445808.2852476</v>
      </c>
      <c r="AG64" s="593">
        <v>1865583037.7550116</v>
      </c>
    </row>
    <row r="65" spans="1:33">
      <c r="A65" s="22">
        <v>375</v>
      </c>
      <c r="B65" s="22" t="s">
        <v>76</v>
      </c>
      <c r="C65" s="594">
        <v>73454947484.798218</v>
      </c>
      <c r="D65" s="594">
        <v>74402985074.626846</v>
      </c>
      <c r="E65" s="594">
        <v>76666666666.666656</v>
      </c>
      <c r="F65" s="594">
        <v>78979178183.158264</v>
      </c>
      <c r="G65" s="594">
        <v>81437258153.676056</v>
      </c>
      <c r="H65" s="594">
        <v>84125667956.513718</v>
      </c>
      <c r="I65" s="594">
        <v>86345126220.748108</v>
      </c>
      <c r="J65" s="594">
        <v>89359683066.150726</v>
      </c>
      <c r="K65" s="594">
        <v>94020637552.975861</v>
      </c>
      <c r="L65" s="594">
        <v>98777409250.046066</v>
      </c>
      <c r="M65" s="594">
        <v>99301639948.406128</v>
      </c>
      <c r="N65" s="594">
        <v>93330569375.345505</v>
      </c>
      <c r="O65" s="594">
        <v>90075548185.000931</v>
      </c>
      <c r="P65" s="594">
        <v>89353233830.845779</v>
      </c>
      <c r="Q65" s="594">
        <v>92583379399.299805</v>
      </c>
      <c r="R65" s="594">
        <v>96252994287.82016</v>
      </c>
      <c r="S65" s="594">
        <v>99703335175.972</v>
      </c>
      <c r="T65" s="594">
        <v>105889073152.75476</v>
      </c>
      <c r="U65" s="594">
        <v>111203243044.03908</v>
      </c>
      <c r="V65" s="594">
        <v>115542657084.94565</v>
      </c>
      <c r="W65" s="594">
        <v>121715496591.11848</v>
      </c>
      <c r="X65" s="594">
        <v>124497880965.54266</v>
      </c>
      <c r="Y65" s="594">
        <v>126765247834.8996</v>
      </c>
      <c r="Z65" s="594">
        <v>129301639948.40614</v>
      </c>
      <c r="AA65" s="594">
        <v>134619495117.00757</v>
      </c>
      <c r="AB65" s="594">
        <v>138547079417.7262</v>
      </c>
      <c r="AC65" s="594">
        <v>144656347890.17874</v>
      </c>
      <c r="AD65" s="594">
        <v>152371475953.56552</v>
      </c>
      <c r="AE65" s="594">
        <v>153776487930.7168</v>
      </c>
      <c r="AF65" s="594">
        <v>141159941035.56296</v>
      </c>
      <c r="AG65" s="594">
        <v>145567532706.83624</v>
      </c>
    </row>
    <row r="66" spans="1:33">
      <c r="A66" s="22">
        <v>220</v>
      </c>
      <c r="B66" s="22" t="s">
        <v>40</v>
      </c>
      <c r="C66" s="595">
        <v>862887805195.22754</v>
      </c>
      <c r="D66" s="595">
        <v>871336111849.32336</v>
      </c>
      <c r="E66" s="595">
        <v>892400181652.87756</v>
      </c>
      <c r="F66" s="595">
        <v>903393695041.98108</v>
      </c>
      <c r="G66" s="595">
        <v>916896046788.47595</v>
      </c>
      <c r="H66" s="595">
        <v>931660351866.07678</v>
      </c>
      <c r="I66" s="595">
        <v>952678434921.98523</v>
      </c>
      <c r="J66" s="595">
        <v>975432583924.54382</v>
      </c>
      <c r="K66" s="595">
        <v>1020962477550.814</v>
      </c>
      <c r="L66" s="595">
        <v>1063718162662.4081</v>
      </c>
      <c r="M66" s="595">
        <v>1091589726450.839</v>
      </c>
      <c r="N66" s="595">
        <v>1102935381186.8489</v>
      </c>
      <c r="O66" s="595">
        <v>1119236098475.7349</v>
      </c>
      <c r="P66" s="595">
        <v>1111767113989.9241</v>
      </c>
      <c r="Q66" s="595">
        <v>1136752838946.4683</v>
      </c>
      <c r="R66" s="595">
        <v>1160025576033.3982</v>
      </c>
      <c r="S66" s="595">
        <v>1172410180716.5105</v>
      </c>
      <c r="T66" s="595">
        <v>1198013706239.23</v>
      </c>
      <c r="U66" s="595">
        <v>1238485731754.9641</v>
      </c>
      <c r="V66" s="595">
        <v>1279256375287.7712</v>
      </c>
      <c r="W66" s="595">
        <v>1326334438916.5286</v>
      </c>
      <c r="X66" s="595">
        <v>1350681499908.5022</v>
      </c>
      <c r="Y66" s="595">
        <v>1363227341494.5701</v>
      </c>
      <c r="Z66" s="595">
        <v>1375489544873.1643</v>
      </c>
      <c r="AA66" s="595">
        <v>1410491231054.4336</v>
      </c>
      <c r="AB66" s="595">
        <v>1436253917053.4099</v>
      </c>
      <c r="AC66" s="595">
        <v>1471684274415.9858</v>
      </c>
      <c r="AD66" s="595">
        <v>1505315394899.4851</v>
      </c>
      <c r="AE66" s="595">
        <v>1504101085030.3657</v>
      </c>
      <c r="AF66" s="595">
        <v>1463042356994.1633</v>
      </c>
      <c r="AG66" s="595">
        <v>1484694819485.958</v>
      </c>
    </row>
    <row r="67" spans="1:33">
      <c r="A67" s="22">
        <v>987</v>
      </c>
      <c r="B67" s="22" t="s">
        <v>189</v>
      </c>
      <c r="C67" s="648"/>
      <c r="D67" s="648"/>
      <c r="E67" s="648"/>
      <c r="F67" s="648"/>
      <c r="G67" s="648"/>
      <c r="H67" s="648"/>
      <c r="I67" s="648">
        <v>161456361.74705532</v>
      </c>
      <c r="J67" s="648">
        <v>163393450.67023537</v>
      </c>
      <c r="K67" s="648">
        <v>167558191.85507241</v>
      </c>
      <c r="L67" s="648">
        <v>173466313.07077149</v>
      </c>
      <c r="M67" s="648">
        <v>179955560.96342459</v>
      </c>
      <c r="N67" s="648">
        <v>193321474.53336677</v>
      </c>
      <c r="O67" s="648">
        <v>201069830.22608688</v>
      </c>
      <c r="P67" s="648">
        <v>217438231.6269581</v>
      </c>
      <c r="Q67" s="648">
        <v>216275978.2730501</v>
      </c>
      <c r="R67" s="648">
        <v>227694841.97432688</v>
      </c>
      <c r="S67" s="648">
        <v>222307814.96660301</v>
      </c>
      <c r="T67" s="648">
        <v>207016389.97161174</v>
      </c>
      <c r="U67" s="648">
        <v>212051837.6228897</v>
      </c>
      <c r="V67" s="648">
        <v>215558706.23623663</v>
      </c>
      <c r="W67" s="648">
        <v>225912798.17381957</v>
      </c>
      <c r="X67" s="648">
        <v>228264445.3786158</v>
      </c>
      <c r="Y67" s="648">
        <v>231751977.85121793</v>
      </c>
      <c r="Z67" s="648">
        <v>233273515.47724274</v>
      </c>
      <c r="AA67" s="648">
        <v>231578980.76617232</v>
      </c>
      <c r="AB67" s="648">
        <v>235453158.61253238</v>
      </c>
      <c r="AC67" s="648">
        <v>234775177.48941937</v>
      </c>
      <c r="AD67" s="648">
        <v>230223018.51994631</v>
      </c>
      <c r="AE67" s="648">
        <v>224799169.53504223</v>
      </c>
      <c r="AF67" s="648">
        <v>225767713.99663222</v>
      </c>
      <c r="AG67" s="648">
        <v>226813018.5124366</v>
      </c>
    </row>
    <row r="68" spans="1:33">
      <c r="A68" s="22">
        <v>481</v>
      </c>
      <c r="B68" s="22" t="s">
        <v>100</v>
      </c>
      <c r="C68" s="596">
        <v>3594320285.7821202</v>
      </c>
      <c r="D68" s="596">
        <v>3777462739.7741823</v>
      </c>
      <c r="E68" s="596">
        <v>3660455060.8348093</v>
      </c>
      <c r="F68" s="596">
        <v>3865742190.6363692</v>
      </c>
      <c r="G68" s="596">
        <v>4156016995.1662717</v>
      </c>
      <c r="H68" s="596">
        <v>4059059224.6396823</v>
      </c>
      <c r="I68" s="596">
        <v>4026440716.44313</v>
      </c>
      <c r="J68" s="596">
        <v>3336065491.5919371</v>
      </c>
      <c r="K68" s="596">
        <v>3764594888.3806949</v>
      </c>
      <c r="L68" s="596">
        <v>4086291191.6039333</v>
      </c>
      <c r="M68" s="596">
        <v>4298461126.0489855</v>
      </c>
      <c r="N68" s="596">
        <v>4561204712.0049181</v>
      </c>
      <c r="O68" s="596">
        <v>4420256843.0012236</v>
      </c>
      <c r="P68" s="596">
        <v>4594704710.832778</v>
      </c>
      <c r="Q68" s="596">
        <v>4765294832.3032627</v>
      </c>
      <c r="R68" s="596">
        <v>5002313342.7137823</v>
      </c>
      <c r="S68" s="596">
        <v>5183649653.6772861</v>
      </c>
      <c r="T68" s="596">
        <v>5481106515.2264853</v>
      </c>
      <c r="U68" s="596">
        <v>5671730278.6136484</v>
      </c>
      <c r="V68" s="596">
        <v>5165096006.3774376</v>
      </c>
      <c r="W68" s="596">
        <v>5067838984.2411299</v>
      </c>
      <c r="X68" s="596">
        <v>5175869091.9063826</v>
      </c>
      <c r="Y68" s="596">
        <v>5162041537.3776064</v>
      </c>
      <c r="Z68" s="596">
        <v>5289811986.0180254</v>
      </c>
      <c r="AA68" s="596">
        <v>5361013680.584075</v>
      </c>
      <c r="AB68" s="596">
        <v>5523001847.8390484</v>
      </c>
      <c r="AC68" s="596">
        <v>5588238865.7643251</v>
      </c>
      <c r="AD68" s="596">
        <v>5898573546.0085058</v>
      </c>
      <c r="AE68" s="596">
        <v>6035623995.8101959</v>
      </c>
      <c r="AF68" s="596">
        <v>5950386316.2967443</v>
      </c>
      <c r="AG68" s="596">
        <v>6287360043.361124</v>
      </c>
    </row>
    <row r="69" spans="1:33">
      <c r="A69" s="22">
        <v>420</v>
      </c>
      <c r="B69" s="22" t="s">
        <v>85</v>
      </c>
      <c r="C69" s="597">
        <v>213462393.09330457</v>
      </c>
      <c r="D69" s="597">
        <v>220553387.61277139</v>
      </c>
      <c r="E69" s="597">
        <v>218867075.45050544</v>
      </c>
      <c r="F69" s="597">
        <v>242686877.75746444</v>
      </c>
      <c r="G69" s="597">
        <v>251266484.58769327</v>
      </c>
      <c r="H69" s="597">
        <v>249225533.33127415</v>
      </c>
      <c r="I69" s="597">
        <v>259421527.17232186</v>
      </c>
      <c r="J69" s="597">
        <v>265788595.84083509</v>
      </c>
      <c r="K69" s="597">
        <v>277687489.45021212</v>
      </c>
      <c r="L69" s="597">
        <v>294059173.27220917</v>
      </c>
      <c r="M69" s="597">
        <v>304524383.30575138</v>
      </c>
      <c r="N69" s="597">
        <v>313986075.86813706</v>
      </c>
      <c r="O69" s="597">
        <v>324594689.13465005</v>
      </c>
      <c r="P69" s="597">
        <v>334371807.77764356</v>
      </c>
      <c r="Q69" s="597">
        <v>334887898.11767209</v>
      </c>
      <c r="R69" s="597">
        <v>337841102.31622392</v>
      </c>
      <c r="S69" s="597">
        <v>345353151.74544841</v>
      </c>
      <c r="T69" s="597">
        <v>362275452.54085684</v>
      </c>
      <c r="U69" s="597">
        <v>374955087.80366713</v>
      </c>
      <c r="V69" s="597">
        <v>398952213.4231019</v>
      </c>
      <c r="W69" s="597">
        <v>420894585.16137141</v>
      </c>
      <c r="X69" s="597">
        <v>445306471.1007306</v>
      </c>
      <c r="Y69" s="597">
        <v>430834009.10467392</v>
      </c>
      <c r="Z69" s="597">
        <v>460432305.53016472</v>
      </c>
      <c r="AA69" s="597">
        <v>492892783.07004195</v>
      </c>
      <c r="AB69" s="597">
        <v>488553988.07494855</v>
      </c>
      <c r="AC69" s="597">
        <v>495927103.75288498</v>
      </c>
      <c r="AD69" s="597">
        <v>521591217.93954778</v>
      </c>
      <c r="AE69" s="597">
        <v>549977713.29960251</v>
      </c>
      <c r="AF69" s="597">
        <v>583837329.14366388</v>
      </c>
      <c r="AG69" s="597">
        <v>613102926.75762653</v>
      </c>
    </row>
    <row r="70" spans="1:33">
      <c r="A70" s="22">
        <v>452</v>
      </c>
      <c r="B70" s="22" t="s">
        <v>96</v>
      </c>
      <c r="C70" s="600">
        <v>2639865251.1172652</v>
      </c>
      <c r="D70" s="600">
        <v>2547388990.2557712</v>
      </c>
      <c r="E70" s="600">
        <v>2371016684.8050151</v>
      </c>
      <c r="F70" s="600">
        <v>2262809702.0294642</v>
      </c>
      <c r="G70" s="600">
        <v>2458487738.153966</v>
      </c>
      <c r="H70" s="600">
        <v>2583664541.6606746</v>
      </c>
      <c r="I70" s="600">
        <v>2717993396.8795381</v>
      </c>
      <c r="J70" s="600">
        <v>2848318427.7740741</v>
      </c>
      <c r="K70" s="600">
        <v>3008626623.6834059</v>
      </c>
      <c r="L70" s="600">
        <v>3161641538.1368494</v>
      </c>
      <c r="M70" s="600">
        <v>3266886838.000133</v>
      </c>
      <c r="N70" s="600">
        <v>3439438120.9808145</v>
      </c>
      <c r="O70" s="600">
        <v>3572868342.7853417</v>
      </c>
      <c r="P70" s="600">
        <v>3746152457.4104166</v>
      </c>
      <c r="Q70" s="600">
        <v>3869775488.5049906</v>
      </c>
      <c r="R70" s="600">
        <v>4028916868.5706801</v>
      </c>
      <c r="S70" s="600">
        <v>4214346194.3958225</v>
      </c>
      <c r="T70" s="600">
        <v>4391195242.9334049</v>
      </c>
      <c r="U70" s="600">
        <v>4597598579.9058428</v>
      </c>
      <c r="V70" s="600">
        <v>4799892758.1717777</v>
      </c>
      <c r="W70" s="600">
        <v>4977488790.224122</v>
      </c>
      <c r="X70" s="600">
        <v>5176588341.8330908</v>
      </c>
      <c r="Y70" s="600">
        <v>5409534817.2156048</v>
      </c>
      <c r="Z70" s="600">
        <v>5690830627.7108164</v>
      </c>
      <c r="AA70" s="600">
        <v>6009517142.8625822</v>
      </c>
      <c r="AB70" s="600">
        <v>6364078885.5457582</v>
      </c>
      <c r="AC70" s="600">
        <v>6771379934.2206945</v>
      </c>
      <c r="AD70" s="600">
        <v>7208793173.0977316</v>
      </c>
      <c r="AE70" s="600">
        <v>7816530775.8675489</v>
      </c>
      <c r="AF70" s="600">
        <v>8180601366.2330513</v>
      </c>
      <c r="AG70" s="600">
        <v>8722164062.0536652</v>
      </c>
    </row>
    <row r="71" spans="1:33">
      <c r="A71" s="22">
        <v>255</v>
      </c>
      <c r="B71" s="22" t="s">
        <v>47</v>
      </c>
      <c r="C71" s="599">
        <v>1225929325594.251</v>
      </c>
      <c r="D71" s="599">
        <v>1232417440574.9033</v>
      </c>
      <c r="E71" s="599">
        <v>1227551354339.4141</v>
      </c>
      <c r="F71" s="599">
        <v>1246853496406.8547</v>
      </c>
      <c r="G71" s="599">
        <v>1282051520176.8936</v>
      </c>
      <c r="H71" s="599">
        <v>1311896849087.8943</v>
      </c>
      <c r="I71" s="599">
        <v>1341904380873.4111</v>
      </c>
      <c r="J71" s="599">
        <v>1360719914317.3027</v>
      </c>
      <c r="K71" s="599">
        <v>1411165008291.8743</v>
      </c>
      <c r="L71" s="599">
        <v>1466151782752.9023</v>
      </c>
      <c r="M71" s="599">
        <v>1543198148148.1484</v>
      </c>
      <c r="N71" s="599">
        <v>1622028745163.074</v>
      </c>
      <c r="O71" s="599">
        <v>1658132946379.2156</v>
      </c>
      <c r="P71" s="599">
        <v>1644831398562.7424</v>
      </c>
      <c r="Q71" s="599">
        <v>1688536484245.4399</v>
      </c>
      <c r="R71" s="599">
        <v>1720460199004.9758</v>
      </c>
      <c r="S71" s="599">
        <v>1737562189054.7271</v>
      </c>
      <c r="T71" s="599">
        <v>1768915837479.2708</v>
      </c>
      <c r="U71" s="599">
        <v>1804830016583.7483</v>
      </c>
      <c r="V71" s="599">
        <v>1841124239911.5537</v>
      </c>
      <c r="W71" s="599">
        <v>1900221116639.0273</v>
      </c>
      <c r="X71" s="599">
        <v>1923783858485.3513</v>
      </c>
      <c r="Y71" s="599">
        <v>1923783858485.3513</v>
      </c>
      <c r="Z71" s="599">
        <v>1919603372028.7454</v>
      </c>
      <c r="AA71" s="599">
        <v>1942786069651.7415</v>
      </c>
      <c r="AB71" s="599">
        <v>1957417772249.8621</v>
      </c>
      <c r="AC71" s="599">
        <v>2023355444997.2366</v>
      </c>
      <c r="AD71" s="599">
        <v>2077131702598.1211</v>
      </c>
      <c r="AE71" s="599">
        <v>2097654090657.8228</v>
      </c>
      <c r="AF71" s="599">
        <v>1998652570480.9294</v>
      </c>
      <c r="AG71" s="599">
        <v>2071241017136.5403</v>
      </c>
    </row>
    <row r="72" spans="1:33">
      <c r="A72" s="22">
        <v>404</v>
      </c>
      <c r="B72" s="22" t="s">
        <v>83</v>
      </c>
      <c r="C72" s="605">
        <v>114543576.34024224</v>
      </c>
      <c r="D72" s="605">
        <v>135353312.76512608</v>
      </c>
      <c r="E72" s="605">
        <v>141038263.08738372</v>
      </c>
      <c r="F72" s="605">
        <v>136245377.53472129</v>
      </c>
      <c r="G72" s="605">
        <v>148656272.81198981</v>
      </c>
      <c r="H72" s="605">
        <v>154850025.84508225</v>
      </c>
      <c r="I72" s="605">
        <v>153620752.5933921</v>
      </c>
      <c r="J72" s="605">
        <v>158075754.4186005</v>
      </c>
      <c r="K72" s="605">
        <v>165347239.121856</v>
      </c>
      <c r="L72" s="605">
        <v>175433420.70828933</v>
      </c>
      <c r="M72" s="605">
        <v>186134859.3714948</v>
      </c>
      <c r="N72" s="605">
        <v>195627737.19944102</v>
      </c>
      <c r="O72" s="605">
        <v>197779642.30863503</v>
      </c>
      <c r="P72" s="605">
        <v>201933014.79711613</v>
      </c>
      <c r="Q72" s="605">
        <v>208394871.27062336</v>
      </c>
      <c r="R72" s="605">
        <v>217564245.60653108</v>
      </c>
      <c r="S72" s="605">
        <v>242801698.09688926</v>
      </c>
      <c r="T72" s="605">
        <v>258583808.47318721</v>
      </c>
      <c r="U72" s="605">
        <v>185921810.69401753</v>
      </c>
      <c r="V72" s="605">
        <v>200423711.92815074</v>
      </c>
      <c r="W72" s="605">
        <v>215455490.32276186</v>
      </c>
      <c r="X72" s="605">
        <v>215886401.30340695</v>
      </c>
      <c r="Y72" s="605">
        <v>200558466.81086561</v>
      </c>
      <c r="Z72" s="605">
        <v>200684449.35864595</v>
      </c>
      <c r="AA72" s="605">
        <v>202080227.58538201</v>
      </c>
      <c r="AB72" s="605">
        <v>210770185.18092328</v>
      </c>
      <c r="AC72" s="605">
        <v>215273017.14173183</v>
      </c>
      <c r="AD72" s="605">
        <v>222166391.49701354</v>
      </c>
      <c r="AE72" s="605">
        <v>229323638.92871436</v>
      </c>
      <c r="AF72" s="605">
        <v>236193584.77548265</v>
      </c>
      <c r="AG72" s="605">
        <v>244395462.71402803</v>
      </c>
    </row>
    <row r="73" spans="1:33">
      <c r="A73" s="22">
        <v>350</v>
      </c>
      <c r="B73" s="22" t="s">
        <v>62</v>
      </c>
      <c r="C73" s="601">
        <v>93025394739.693634</v>
      </c>
      <c r="D73" s="601">
        <v>91580039444.872421</v>
      </c>
      <c r="E73" s="601">
        <v>90542760391.046295</v>
      </c>
      <c r="F73" s="601">
        <v>89566145921.975784</v>
      </c>
      <c r="G73" s="601">
        <v>91366945303.51268</v>
      </c>
      <c r="H73" s="601">
        <v>93659850427.064453</v>
      </c>
      <c r="I73" s="601">
        <v>94144690119.664215</v>
      </c>
      <c r="J73" s="601">
        <v>92018090100.96347</v>
      </c>
      <c r="K73" s="601">
        <v>95963698511.785385</v>
      </c>
      <c r="L73" s="601">
        <v>99610319036.622574</v>
      </c>
      <c r="M73" s="601">
        <v>99610319036.622574</v>
      </c>
      <c r="N73" s="601">
        <v>102698238987.74922</v>
      </c>
      <c r="O73" s="601">
        <v>103417126589.99828</v>
      </c>
      <c r="P73" s="601">
        <v>101762452637.52679</v>
      </c>
      <c r="Q73" s="601">
        <v>103797701679.2215</v>
      </c>
      <c r="R73" s="601">
        <v>105977162532.87338</v>
      </c>
      <c r="S73" s="601">
        <v>108476530058.30443</v>
      </c>
      <c r="T73" s="601">
        <v>112422481245.98433</v>
      </c>
      <c r="U73" s="601">
        <v>116204017654.96866</v>
      </c>
      <c r="V73" s="601">
        <v>120177488098.34532</v>
      </c>
      <c r="W73" s="601">
        <v>125558321824.21228</v>
      </c>
      <c r="X73" s="601">
        <v>130828223911.47855</v>
      </c>
      <c r="Y73" s="601">
        <v>135327939428.14456</v>
      </c>
      <c r="Z73" s="601">
        <v>143371548640.37061</v>
      </c>
      <c r="AA73" s="601">
        <v>149633450647.30118</v>
      </c>
      <c r="AB73" s="601">
        <v>153045622842.36566</v>
      </c>
      <c r="AC73" s="601">
        <v>160952070353.22427</v>
      </c>
      <c r="AD73" s="601">
        <v>167839674110.68912</v>
      </c>
      <c r="AE73" s="601">
        <v>169556029805.65063</v>
      </c>
      <c r="AF73" s="601">
        <v>166090005474.72766</v>
      </c>
      <c r="AG73" s="601">
        <v>158667298802.58514</v>
      </c>
    </row>
    <row r="74" spans="1:33">
      <c r="A74" s="22">
        <v>372</v>
      </c>
      <c r="B74" s="22" t="s">
        <v>74</v>
      </c>
      <c r="C74" s="598">
        <v>8474279303.0745802</v>
      </c>
      <c r="D74" s="598">
        <v>8920655470.8250999</v>
      </c>
      <c r="E74" s="598">
        <v>9099205810.5417404</v>
      </c>
      <c r="F74" s="598">
        <v>9490643363.2319641</v>
      </c>
      <c r="G74" s="598">
        <v>10005693277.496235</v>
      </c>
      <c r="H74" s="598">
        <v>10500140176.12154</v>
      </c>
      <c r="I74" s="598">
        <v>9641724713.8773079</v>
      </c>
      <c r="J74" s="598">
        <v>9765335801.6158791</v>
      </c>
      <c r="K74" s="598">
        <v>10307854704.951447</v>
      </c>
      <c r="L74" s="598">
        <v>9566183720.0957489</v>
      </c>
      <c r="M74" s="598">
        <v>8151514859.9803343</v>
      </c>
      <c r="N74" s="598">
        <v>6431545204.7800484</v>
      </c>
      <c r="O74" s="598">
        <v>3543781426.3044243</v>
      </c>
      <c r="P74" s="598">
        <v>2505453416.4884324</v>
      </c>
      <c r="Q74" s="598">
        <v>2244886380.9141726</v>
      </c>
      <c r="R74" s="598">
        <v>2303253365.0369153</v>
      </c>
      <c r="S74" s="598">
        <v>2561217795.4221416</v>
      </c>
      <c r="T74" s="598">
        <v>2830633309.5152993</v>
      </c>
      <c r="U74" s="598">
        <v>2918521769.4884114</v>
      </c>
      <c r="V74" s="598">
        <v>3002261649.6141062</v>
      </c>
      <c r="W74" s="598">
        <v>3057453460.8497453</v>
      </c>
      <c r="X74" s="598">
        <v>3204377911.4422045</v>
      </c>
      <c r="Y74" s="598">
        <v>3379780411.8751216</v>
      </c>
      <c r="Z74" s="598">
        <v>3753519943.7974725</v>
      </c>
      <c r="AA74" s="598">
        <v>3973376002.4389501</v>
      </c>
      <c r="AB74" s="598">
        <v>4354805817.3696308</v>
      </c>
      <c r="AC74" s="598">
        <v>4763429293.1461029</v>
      </c>
      <c r="AD74" s="598">
        <v>5351427005.0920601</v>
      </c>
      <c r="AE74" s="598">
        <v>5475261546.2949333</v>
      </c>
      <c r="AF74" s="598">
        <v>5267201607.5357256</v>
      </c>
      <c r="AG74" s="598">
        <v>5603249070.0965052</v>
      </c>
    </row>
    <row r="75" spans="1:33">
      <c r="A75" s="22">
        <v>55</v>
      </c>
      <c r="B75" s="22" t="s">
        <v>10</v>
      </c>
      <c r="C75" s="602">
        <v>166793492.45659366</v>
      </c>
      <c r="D75" s="602">
        <v>168215060.97369733</v>
      </c>
      <c r="E75" s="602">
        <v>176500416.64435425</v>
      </c>
      <c r="F75" s="602">
        <v>181664990.44490406</v>
      </c>
      <c r="G75" s="602">
        <v>190357186.85761273</v>
      </c>
      <c r="H75" s="602">
        <v>205740842.84354103</v>
      </c>
      <c r="I75" s="602">
        <v>222713600.81681472</v>
      </c>
      <c r="J75" s="602">
        <v>247545712.59497151</v>
      </c>
      <c r="K75" s="602">
        <v>256032099.2399312</v>
      </c>
      <c r="L75" s="602">
        <v>271578494.58600932</v>
      </c>
      <c r="M75" s="602">
        <v>285698511.9882462</v>
      </c>
      <c r="N75" s="602">
        <v>292260745.0220226</v>
      </c>
      <c r="O75" s="602">
        <v>291394404.91013604</v>
      </c>
      <c r="P75" s="602">
        <v>283702569.25884908</v>
      </c>
      <c r="Q75" s="602">
        <v>291514058.54604101</v>
      </c>
      <c r="R75" s="602">
        <v>298813389.83561504</v>
      </c>
      <c r="S75" s="602">
        <v>310937464.50845468</v>
      </c>
      <c r="T75" s="602">
        <v>325268116.42182386</v>
      </c>
      <c r="U75" s="602">
        <v>346546858.30646533</v>
      </c>
      <c r="V75" s="602">
        <v>381452781.54422736</v>
      </c>
      <c r="W75" s="602">
        <v>429579259.82609737</v>
      </c>
      <c r="X75" s="602">
        <v>412774027.66474265</v>
      </c>
      <c r="Y75" s="602">
        <v>421614604.08229387</v>
      </c>
      <c r="Z75" s="602">
        <v>457216232.3409543</v>
      </c>
      <c r="AA75" s="602">
        <v>427626387.50429946</v>
      </c>
      <c r="AB75" s="602">
        <v>479109462.73287588</v>
      </c>
      <c r="AC75" s="602">
        <v>469866824.36671925</v>
      </c>
      <c r="AD75" s="602">
        <v>491172158.82009959</v>
      </c>
      <c r="AE75" s="602">
        <v>495600130.48057753</v>
      </c>
      <c r="AF75" s="602">
        <v>454353934.18302494</v>
      </c>
      <c r="AG75" s="602">
        <v>449270722.4042272</v>
      </c>
    </row>
    <row r="76" spans="1:33">
      <c r="A76" s="22">
        <v>90</v>
      </c>
      <c r="B76" s="22" t="s">
        <v>17</v>
      </c>
      <c r="C76" s="603">
        <v>11814414541.313398</v>
      </c>
      <c r="D76" s="603">
        <v>11890837105.802668</v>
      </c>
      <c r="E76" s="603">
        <v>11471079977.406853</v>
      </c>
      <c r="F76" s="603">
        <v>11176033300.201099</v>
      </c>
      <c r="G76" s="603">
        <v>11231544416.234819</v>
      </c>
      <c r="H76" s="603">
        <v>11163106240.671303</v>
      </c>
      <c r="I76" s="603">
        <v>11179075018.522806</v>
      </c>
      <c r="J76" s="603">
        <v>11575259559.937777</v>
      </c>
      <c r="K76" s="603">
        <v>12025813477.997231</v>
      </c>
      <c r="L76" s="603">
        <v>12499941929.737253</v>
      </c>
      <c r="M76" s="603">
        <v>12887760529.080194</v>
      </c>
      <c r="N76" s="603">
        <v>13359226868.945059</v>
      </c>
      <c r="O76" s="603">
        <v>14005591525.633245</v>
      </c>
      <c r="P76" s="603">
        <v>14555609587.186804</v>
      </c>
      <c r="Q76" s="603">
        <v>15142745250.745241</v>
      </c>
      <c r="R76" s="603">
        <v>15892091189.822926</v>
      </c>
      <c r="S76" s="603">
        <v>16362144271.312565</v>
      </c>
      <c r="T76" s="603">
        <v>17076202965.731346</v>
      </c>
      <c r="U76" s="603">
        <v>17928907904.433823</v>
      </c>
      <c r="V76" s="603">
        <v>18618644148.916615</v>
      </c>
      <c r="W76" s="603">
        <v>19290566570.048309</v>
      </c>
      <c r="X76" s="603">
        <v>19740527581.163902</v>
      </c>
      <c r="Y76" s="603">
        <v>20503822393.690098</v>
      </c>
      <c r="Z76" s="603">
        <v>21022740913.10313</v>
      </c>
      <c r="AA76" s="603">
        <v>21685384121.310001</v>
      </c>
      <c r="AB76" s="603">
        <v>22392362924.10696</v>
      </c>
      <c r="AC76" s="603">
        <v>23597025900.649902</v>
      </c>
      <c r="AD76" s="603">
        <v>25084585159.789299</v>
      </c>
      <c r="AE76" s="603">
        <v>25907634307.465836</v>
      </c>
      <c r="AF76" s="603">
        <v>26047262553.863441</v>
      </c>
      <c r="AG76" s="603">
        <v>26721536972.283894</v>
      </c>
    </row>
    <row r="77" spans="1:33">
      <c r="A77" s="22">
        <v>438</v>
      </c>
      <c r="B77" s="22" t="s">
        <v>92</v>
      </c>
      <c r="C77" s="604"/>
      <c r="D77" s="604"/>
      <c r="E77" s="604"/>
      <c r="F77" s="604"/>
      <c r="G77" s="604"/>
      <c r="H77" s="604"/>
      <c r="I77" s="604">
        <v>1752616479.3517644</v>
      </c>
      <c r="J77" s="604">
        <v>1810451751.3676453</v>
      </c>
      <c r="K77" s="604">
        <v>1924657160.5918939</v>
      </c>
      <c r="L77" s="604">
        <v>2001710348.3888152</v>
      </c>
      <c r="M77" s="604">
        <v>2088265559.958087</v>
      </c>
      <c r="N77" s="604">
        <v>2142840772.5009246</v>
      </c>
      <c r="O77" s="604">
        <v>2212931964.9297867</v>
      </c>
      <c r="P77" s="604">
        <v>2324555451.8700509</v>
      </c>
      <c r="Q77" s="604">
        <v>2416842607.0770745</v>
      </c>
      <c r="R77" s="604">
        <v>2528202816.2043123</v>
      </c>
      <c r="S77" s="604">
        <v>2660235794.4302959</v>
      </c>
      <c r="T77" s="604">
        <v>2783956470.576755</v>
      </c>
      <c r="U77" s="604">
        <v>2918504398.1513014</v>
      </c>
      <c r="V77" s="604">
        <v>3054862705.8264318</v>
      </c>
      <c r="W77" s="604">
        <v>3112362568.4796238</v>
      </c>
      <c r="X77" s="604">
        <v>3202122564.2440486</v>
      </c>
      <c r="Y77" s="604">
        <v>3322809563.6831522</v>
      </c>
      <c r="Z77" s="604">
        <v>3502841591.6966815</v>
      </c>
      <c r="AA77" s="604">
        <v>3584767429.2455001</v>
      </c>
      <c r="AB77" s="604">
        <v>3692243887.3798571</v>
      </c>
      <c r="AC77" s="604">
        <v>3784410454.6222782</v>
      </c>
      <c r="AD77" s="604">
        <v>3850929024.3464365</v>
      </c>
      <c r="AE77" s="604">
        <v>4041047913.8744183</v>
      </c>
      <c r="AF77" s="604">
        <v>4029726802.5157766</v>
      </c>
      <c r="AG77" s="604">
        <v>4107607446.4619279</v>
      </c>
    </row>
    <row r="78" spans="1:33">
      <c r="A78" s="22">
        <v>110</v>
      </c>
      <c r="B78" s="22" t="s">
        <v>25</v>
      </c>
      <c r="C78" s="606">
        <v>623750409.27010548</v>
      </c>
      <c r="D78" s="606">
        <v>633082750.19486678</v>
      </c>
      <c r="E78" s="606">
        <v>549578284.15726757</v>
      </c>
      <c r="F78" s="606">
        <v>512248801.74578381</v>
      </c>
      <c r="G78" s="606">
        <v>486489152.29918063</v>
      </c>
      <c r="H78" s="606">
        <v>498163274.1412496</v>
      </c>
      <c r="I78" s="606">
        <v>493676804.63258982</v>
      </c>
      <c r="J78" s="606">
        <v>498116916.93403041</v>
      </c>
      <c r="K78" s="606">
        <v>479718803.86507267</v>
      </c>
      <c r="L78" s="606">
        <v>455999524.4545238</v>
      </c>
      <c r="M78" s="606">
        <v>442145871.92041421</v>
      </c>
      <c r="N78" s="606">
        <v>468606577.67235082</v>
      </c>
      <c r="O78" s="606">
        <v>505305251.86396074</v>
      </c>
      <c r="P78" s="606">
        <v>546810206.87344527</v>
      </c>
      <c r="Q78" s="606">
        <v>593416532.14470983</v>
      </c>
      <c r="R78" s="606">
        <v>623006141.63717198</v>
      </c>
      <c r="S78" s="606">
        <v>672120623.3082478</v>
      </c>
      <c r="T78" s="606">
        <v>713973227.69376647</v>
      </c>
      <c r="U78" s="606">
        <v>701774515.58613682</v>
      </c>
      <c r="V78" s="606">
        <v>722616383.55704045</v>
      </c>
      <c r="W78" s="606">
        <v>712667925.07666481</v>
      </c>
      <c r="X78" s="606">
        <v>728702948.3456111</v>
      </c>
      <c r="Y78" s="606">
        <v>736361621.95672524</v>
      </c>
      <c r="Z78" s="606">
        <v>728959307.85646844</v>
      </c>
      <c r="AA78" s="606">
        <v>752970679.22185135</v>
      </c>
      <c r="AB78" s="606">
        <v>738235712.18482959</v>
      </c>
      <c r="AC78" s="606">
        <v>776104320.27609229</v>
      </c>
      <c r="AD78" s="606">
        <v>747852523.76180279</v>
      </c>
      <c r="AE78" s="606">
        <v>762629504.9880513</v>
      </c>
      <c r="AF78" s="606">
        <v>787943594.30646229</v>
      </c>
      <c r="AG78" s="606">
        <v>822264758.69665456</v>
      </c>
    </row>
    <row r="79" spans="1:33">
      <c r="A79" s="22">
        <v>41</v>
      </c>
      <c r="B79" s="22" t="s">
        <v>4</v>
      </c>
      <c r="C79" s="607"/>
      <c r="D79" s="607"/>
      <c r="E79" s="607"/>
      <c r="F79" s="607"/>
      <c r="G79" s="607"/>
      <c r="H79" s="607"/>
      <c r="I79" s="607"/>
      <c r="J79" s="607"/>
      <c r="K79" s="607"/>
      <c r="L79" s="607"/>
      <c r="M79" s="607"/>
      <c r="N79" s="607">
        <v>3734792699.9671078</v>
      </c>
      <c r="O79" s="607">
        <v>3536477717.9150829</v>
      </c>
      <c r="P79" s="607">
        <v>3344577988.4470196</v>
      </c>
      <c r="Q79" s="607">
        <v>2944879860.063684</v>
      </c>
      <c r="R79" s="607">
        <v>3236355466.5958443</v>
      </c>
      <c r="S79" s="607">
        <v>3370238998.7828655</v>
      </c>
      <c r="T79" s="607">
        <v>3461447155.0852737</v>
      </c>
      <c r="U79" s="607">
        <v>3537035565.9658628</v>
      </c>
      <c r="V79" s="607">
        <v>3632985430.6998944</v>
      </c>
      <c r="W79" s="607">
        <v>3664503845.568922</v>
      </c>
      <c r="X79" s="607">
        <v>3626291254.0905433</v>
      </c>
      <c r="Y79" s="607">
        <v>3617086761.2526855</v>
      </c>
      <c r="Z79" s="607">
        <v>3630196190.4459977</v>
      </c>
      <c r="AA79" s="607">
        <v>3502448986.8175483</v>
      </c>
      <c r="AB79" s="607">
        <v>3565485816.555604</v>
      </c>
      <c r="AC79" s="607">
        <v>3645815935.8678169</v>
      </c>
      <c r="AD79" s="607">
        <v>3767705734.9630842</v>
      </c>
      <c r="AE79" s="607">
        <v>3799503073.8575015</v>
      </c>
      <c r="AF79" s="607">
        <v>3909120215.8356252</v>
      </c>
      <c r="AG79" s="607">
        <v>3711642005.8597689</v>
      </c>
    </row>
    <row r="80" spans="1:33">
      <c r="A80" s="22">
        <v>91</v>
      </c>
      <c r="B80" s="22" t="s">
        <v>18</v>
      </c>
      <c r="C80" s="608">
        <v>4047510519.1821842</v>
      </c>
      <c r="D80" s="608">
        <v>4150042144.8678184</v>
      </c>
      <c r="E80" s="608">
        <v>4092306080.7542777</v>
      </c>
      <c r="F80" s="608">
        <v>4054478751.6270719</v>
      </c>
      <c r="G80" s="608">
        <v>4230673875.3781128</v>
      </c>
      <c r="H80" s="608">
        <v>4407864388.0967426</v>
      </c>
      <c r="I80" s="608">
        <v>4439719001.1645908</v>
      </c>
      <c r="J80" s="608">
        <v>4707495771.159112</v>
      </c>
      <c r="K80" s="608">
        <v>4924504390.9401245</v>
      </c>
      <c r="L80" s="608">
        <v>5137531200.0148983</v>
      </c>
      <c r="M80" s="608">
        <v>5142508463.3976955</v>
      </c>
      <c r="N80" s="608">
        <v>5309744576.7686729</v>
      </c>
      <c r="O80" s="608">
        <v>5608380316.0275669</v>
      </c>
      <c r="P80" s="608">
        <v>5957784205.4999714</v>
      </c>
      <c r="Q80" s="608">
        <v>5880138960.4372978</v>
      </c>
      <c r="R80" s="608">
        <v>6119047602.8115911</v>
      </c>
      <c r="S80" s="608">
        <v>6339042644.331254</v>
      </c>
      <c r="T80" s="608">
        <v>6655596595.4771919</v>
      </c>
      <c r="U80" s="608">
        <v>6848714414.7297459</v>
      </c>
      <c r="V80" s="608">
        <v>6719305566.7770033</v>
      </c>
      <c r="W80" s="608">
        <v>7105541205.2821112</v>
      </c>
      <c r="X80" s="608">
        <v>7299040639.5736179</v>
      </c>
      <c r="Y80" s="608">
        <v>7573072089.8678408</v>
      </c>
      <c r="Z80" s="608">
        <v>7917422407.603981</v>
      </c>
      <c r="AA80" s="608">
        <v>8410861673.3126593</v>
      </c>
      <c r="AB80" s="608">
        <v>8919792791.1341858</v>
      </c>
      <c r="AC80" s="608">
        <v>9505547333.3840885</v>
      </c>
      <c r="AD80" s="608">
        <v>10105098462.360199</v>
      </c>
      <c r="AE80" s="608">
        <v>10506362887.583586</v>
      </c>
      <c r="AF80" s="608">
        <v>10305556166.298971</v>
      </c>
      <c r="AG80" s="608">
        <v>10573497668.221184</v>
      </c>
    </row>
    <row r="81" spans="1:33">
      <c r="A81" s="22">
        <v>310</v>
      </c>
      <c r="B81" s="22" t="s">
        <v>50</v>
      </c>
      <c r="C81" s="609">
        <v>39280149622.704689</v>
      </c>
      <c r="D81" s="609">
        <v>40406211332.121933</v>
      </c>
      <c r="E81" s="609">
        <v>41554187572.716469</v>
      </c>
      <c r="F81" s="609">
        <v>41854610167.184044</v>
      </c>
      <c r="G81" s="609">
        <v>42967125662.818901</v>
      </c>
      <c r="H81" s="609">
        <v>42858389838.672302</v>
      </c>
      <c r="I81" s="609">
        <v>43516244189.858986</v>
      </c>
      <c r="J81" s="609">
        <v>45279187154.992722</v>
      </c>
      <c r="K81" s="609">
        <v>45249636534.192818</v>
      </c>
      <c r="L81" s="609">
        <v>45582866089.263329</v>
      </c>
      <c r="M81" s="609">
        <v>43988988352.437027</v>
      </c>
      <c r="N81" s="609">
        <v>38757799882.853699</v>
      </c>
      <c r="O81" s="609">
        <v>37570190992.863358</v>
      </c>
      <c r="P81" s="609">
        <v>37353745925.61377</v>
      </c>
      <c r="Q81" s="609">
        <v>38454618550.481422</v>
      </c>
      <c r="R81" s="609">
        <v>39027409890.288338</v>
      </c>
      <c r="S81" s="609">
        <v>39425986444.782379</v>
      </c>
      <c r="T81" s="609">
        <v>41126080061.426643</v>
      </c>
      <c r="U81" s="609">
        <v>43249762709.862175</v>
      </c>
      <c r="V81" s="609">
        <v>45080571150.12619</v>
      </c>
      <c r="W81" s="609">
        <v>47885455753.584396</v>
      </c>
      <c r="X81" s="609">
        <v>49848759439.481354</v>
      </c>
      <c r="Y81" s="609">
        <v>52042104854.818535</v>
      </c>
      <c r="Z81" s="609">
        <v>54279915363.575668</v>
      </c>
      <c r="AA81" s="609">
        <v>56831071385.663879</v>
      </c>
      <c r="AB81" s="609">
        <v>59047483169.704628</v>
      </c>
      <c r="AC81" s="609">
        <v>59494083841.530861</v>
      </c>
      <c r="AD81" s="609">
        <v>59953890997.15007</v>
      </c>
      <c r="AE81" s="609">
        <v>60450033223.572411</v>
      </c>
      <c r="AF81" s="609">
        <v>56404298687.29966</v>
      </c>
      <c r="AG81" s="609">
        <v>57065580674.216957</v>
      </c>
    </row>
    <row r="82" spans="1:33">
      <c r="A82" s="22">
        <v>395</v>
      </c>
      <c r="B82" s="22" t="s">
        <v>80</v>
      </c>
      <c r="C82" s="610">
        <v>5161248524.4733896</v>
      </c>
      <c r="D82" s="610">
        <v>5381376140.9891119</v>
      </c>
      <c r="E82" s="610">
        <v>5497321454.9201183</v>
      </c>
      <c r="F82" s="610">
        <v>5379065180.1160078</v>
      </c>
      <c r="G82" s="610">
        <v>5601173141.5996752</v>
      </c>
      <c r="H82" s="610">
        <v>5785610888.3687811</v>
      </c>
      <c r="I82" s="610">
        <v>6148400047.0642128</v>
      </c>
      <c r="J82" s="610">
        <v>6673838610.4609766</v>
      </c>
      <c r="K82" s="610">
        <v>6667850440.1139736</v>
      </c>
      <c r="L82" s="610">
        <v>6685082822.8350477</v>
      </c>
      <c r="M82" s="610">
        <v>6763256198.4837713</v>
      </c>
      <c r="N82" s="610">
        <v>6748138595.196908</v>
      </c>
      <c r="O82" s="610">
        <v>6520463543.0446749</v>
      </c>
      <c r="P82" s="610">
        <v>6606106536.8372879</v>
      </c>
      <c r="Q82" s="610">
        <v>6844511535.8196831</v>
      </c>
      <c r="R82" s="610">
        <v>6852491121.4002256</v>
      </c>
      <c r="S82" s="610">
        <v>7180387099.3182068</v>
      </c>
      <c r="T82" s="610">
        <v>7533173132.6956367</v>
      </c>
      <c r="U82" s="610">
        <v>8009028247.4305506</v>
      </c>
      <c r="V82" s="610">
        <v>8336930732.9296846</v>
      </c>
      <c r="W82" s="610">
        <v>8697298234.4560909</v>
      </c>
      <c r="X82" s="610">
        <v>9038371650.8089962</v>
      </c>
      <c r="Y82" s="610">
        <v>9050931398.1886654</v>
      </c>
      <c r="Z82" s="610">
        <v>9269031441.4368591</v>
      </c>
      <c r="AA82" s="610">
        <v>9983172785.4380798</v>
      </c>
      <c r="AB82" s="610">
        <v>10729728585.784065</v>
      </c>
      <c r="AC82" s="610">
        <v>11223179038.618093</v>
      </c>
      <c r="AD82" s="610">
        <v>11891122491.604761</v>
      </c>
      <c r="AE82" s="610">
        <v>12053682249.160473</v>
      </c>
      <c r="AF82" s="610">
        <v>11222396696.601198</v>
      </c>
      <c r="AG82" s="610">
        <v>10832625067.4163</v>
      </c>
    </row>
    <row r="83" spans="1:33">
      <c r="A83" s="22">
        <v>750</v>
      </c>
      <c r="B83" s="22" t="s">
        <v>160</v>
      </c>
      <c r="C83" s="611">
        <v>157576728143.37048</v>
      </c>
      <c r="D83" s="611">
        <v>167030275822.85925</v>
      </c>
      <c r="E83" s="611">
        <v>172818837366.71094</v>
      </c>
      <c r="F83" s="611">
        <v>185433387433.26465</v>
      </c>
      <c r="G83" s="611">
        <v>192522925011.53741</v>
      </c>
      <c r="H83" s="611">
        <v>202599880646.20688</v>
      </c>
      <c r="I83" s="611">
        <v>212260324531.83157</v>
      </c>
      <c r="J83" s="611">
        <v>220660355823.2305</v>
      </c>
      <c r="K83" s="611">
        <v>241926249221.27597</v>
      </c>
      <c r="L83" s="611">
        <v>256322644708.25351</v>
      </c>
      <c r="M83" s="611">
        <v>270494694911.46915</v>
      </c>
      <c r="N83" s="611">
        <v>273371753217.16681</v>
      </c>
      <c r="O83" s="611">
        <v>288353259333.10712</v>
      </c>
      <c r="P83" s="611">
        <v>302100866388.35718</v>
      </c>
      <c r="Q83" s="611">
        <v>322203110259.01154</v>
      </c>
      <c r="R83" s="611">
        <v>346591482106.50635</v>
      </c>
      <c r="S83" s="611">
        <v>372784133902.80109</v>
      </c>
      <c r="T83" s="611">
        <v>387898660909.21429</v>
      </c>
      <c r="U83" s="611">
        <v>411923321463.33759</v>
      </c>
      <c r="V83" s="611">
        <v>442353379785.9588</v>
      </c>
      <c r="W83" s="611">
        <v>460182031503.09515</v>
      </c>
      <c r="X83" s="611">
        <v>484189242979.59253</v>
      </c>
      <c r="Y83" s="611">
        <v>502427834715.2392</v>
      </c>
      <c r="Z83" s="611">
        <v>544485550467.25964</v>
      </c>
      <c r="AA83" s="611">
        <v>589559010700.39417</v>
      </c>
      <c r="AB83" s="611">
        <v>644499568182.65588</v>
      </c>
      <c r="AC83" s="611">
        <v>704256486829.92017</v>
      </c>
      <c r="AD83" s="611">
        <v>773393372039.47852</v>
      </c>
      <c r="AE83" s="611">
        <v>811540036224.84119</v>
      </c>
      <c r="AF83" s="611">
        <v>885430184576.81519</v>
      </c>
      <c r="AG83" s="611">
        <v>971486068096.3551</v>
      </c>
    </row>
    <row r="84" spans="1:33">
      <c r="A84" s="22">
        <v>850</v>
      </c>
      <c r="B84" s="22" t="s">
        <v>176</v>
      </c>
      <c r="C84" s="612">
        <v>58821323339.399162</v>
      </c>
      <c r="D84" s="612">
        <v>63614197111.866669</v>
      </c>
      <c r="E84" s="612">
        <v>64316544732.088821</v>
      </c>
      <c r="F84" s="612">
        <v>69751233410.566315</v>
      </c>
      <c r="G84" s="612">
        <v>74753897880.515671</v>
      </c>
      <c r="H84" s="612">
        <v>77353493679.67218</v>
      </c>
      <c r="I84" s="612">
        <v>81967255481.665909</v>
      </c>
      <c r="J84" s="612">
        <v>86311522596.019867</v>
      </c>
      <c r="K84" s="612">
        <v>91797205693.58519</v>
      </c>
      <c r="L84" s="612">
        <v>100136719599.44798</v>
      </c>
      <c r="M84" s="612">
        <v>109150599735.95142</v>
      </c>
      <c r="N84" s="612">
        <v>118895342771.79372</v>
      </c>
      <c r="O84" s="612">
        <v>127480182903.21458</v>
      </c>
      <c r="P84" s="612">
        <v>136727691506.50993</v>
      </c>
      <c r="Q84" s="612">
        <v>147037050615.30823</v>
      </c>
      <c r="R84" s="612">
        <v>159382807843.39966</v>
      </c>
      <c r="S84" s="612">
        <v>171564095220.72571</v>
      </c>
      <c r="T84" s="612">
        <v>179627389024.50925</v>
      </c>
      <c r="U84" s="612">
        <v>156048197556.13351</v>
      </c>
      <c r="V84" s="612">
        <v>157282741404.94031</v>
      </c>
      <c r="W84" s="612">
        <v>165021047883.45132</v>
      </c>
      <c r="X84" s="612">
        <v>171033648078.00555</v>
      </c>
      <c r="Y84" s="612">
        <v>178729259330.7222</v>
      </c>
      <c r="Z84" s="612">
        <v>187273179392.04053</v>
      </c>
      <c r="AA84" s="612">
        <v>196694656980.0813</v>
      </c>
      <c r="AB84" s="612">
        <v>207891640579.50537</v>
      </c>
      <c r="AC84" s="612">
        <v>219327659493.25089</v>
      </c>
      <c r="AD84" s="612">
        <v>233244048276.54587</v>
      </c>
      <c r="AE84" s="612">
        <v>247270651444.99463</v>
      </c>
      <c r="AF84" s="612">
        <v>258584855084.30655</v>
      </c>
      <c r="AG84" s="612">
        <v>274371100612.06305</v>
      </c>
    </row>
    <row r="85" spans="1:33">
      <c r="A85" s="22">
        <v>205</v>
      </c>
      <c r="B85" s="22" t="s">
        <v>36</v>
      </c>
      <c r="C85" s="615">
        <v>33990167171.918953</v>
      </c>
      <c r="D85" s="615">
        <v>35120413579.390038</v>
      </c>
      <c r="E85" s="615">
        <v>35922377144.200333</v>
      </c>
      <c r="F85" s="615">
        <v>35834618364.479134</v>
      </c>
      <c r="G85" s="615">
        <v>37394991136.756599</v>
      </c>
      <c r="H85" s="615">
        <v>38548856573.831665</v>
      </c>
      <c r="I85" s="615">
        <v>38383740054.948807</v>
      </c>
      <c r="J85" s="615">
        <v>40173608819.163109</v>
      </c>
      <c r="K85" s="615">
        <v>42269632388.245972</v>
      </c>
      <c r="L85" s="615">
        <v>44727154808.673347</v>
      </c>
      <c r="M85" s="615">
        <v>48513991874.074059</v>
      </c>
      <c r="N85" s="615">
        <v>49450137042.521004</v>
      </c>
      <c r="O85" s="615">
        <v>51103390737.668777</v>
      </c>
      <c r="P85" s="615">
        <v>52479405323.897545</v>
      </c>
      <c r="Q85" s="615">
        <v>55500029105.35099</v>
      </c>
      <c r="R85" s="615">
        <v>60847136290.72303</v>
      </c>
      <c r="S85" s="615">
        <v>65800724168.016762</v>
      </c>
      <c r="T85" s="615">
        <v>73342470862.890472</v>
      </c>
      <c r="U85" s="615">
        <v>79525130659.084366</v>
      </c>
      <c r="V85" s="615">
        <v>88190385643.94574</v>
      </c>
      <c r="W85" s="615">
        <v>96754681824.21228</v>
      </c>
      <c r="X85" s="615">
        <v>102271265877.5517</v>
      </c>
      <c r="Y85" s="615">
        <v>108966363179.24944</v>
      </c>
      <c r="Z85" s="615">
        <v>113773206261.88202</v>
      </c>
      <c r="AA85" s="615">
        <v>119004799407.18062</v>
      </c>
      <c r="AB85" s="615">
        <v>126164435663.31644</v>
      </c>
      <c r="AC85" s="615">
        <v>132878754678.42865</v>
      </c>
      <c r="AD85" s="615">
        <v>140355393160.54489</v>
      </c>
      <c r="AE85" s="615">
        <v>135376106034.99783</v>
      </c>
      <c r="AF85" s="615">
        <v>125114013526.31017</v>
      </c>
      <c r="AG85" s="615">
        <v>123812040038.05911</v>
      </c>
    </row>
    <row r="86" spans="1:33">
      <c r="A86" s="22">
        <v>630</v>
      </c>
      <c r="B86" s="22" t="s">
        <v>133</v>
      </c>
      <c r="C86" s="613">
        <v>57286706114.833549</v>
      </c>
      <c r="D86" s="613">
        <v>54308583000.019234</v>
      </c>
      <c r="E86" s="613">
        <v>61345233936.490303</v>
      </c>
      <c r="F86" s="613">
        <v>69079769936.937515</v>
      </c>
      <c r="G86" s="613">
        <v>67992647698.804413</v>
      </c>
      <c r="H86" s="613">
        <v>69396785740.538696</v>
      </c>
      <c r="I86" s="613">
        <v>63032547031.571907</v>
      </c>
      <c r="J86" s="613">
        <v>62147762741.43528</v>
      </c>
      <c r="K86" s="613">
        <v>58232934197.850853</v>
      </c>
      <c r="L86" s="613">
        <v>61830541299.121132</v>
      </c>
      <c r="M86" s="613">
        <v>70293760715.403748</v>
      </c>
      <c r="N86" s="613">
        <v>79146807858.044693</v>
      </c>
      <c r="O86" s="613">
        <v>82511394660.7845</v>
      </c>
      <c r="P86" s="613">
        <v>81211188533.704895</v>
      </c>
      <c r="Q86" s="613">
        <v>80926500190.341537</v>
      </c>
      <c r="R86" s="613">
        <v>83073225988.581116</v>
      </c>
      <c r="S86" s="613">
        <v>88972035743.838409</v>
      </c>
      <c r="T86" s="613">
        <v>91983567240.330566</v>
      </c>
      <c r="U86" s="613">
        <v>94504455313.229477</v>
      </c>
      <c r="V86" s="613">
        <v>96332003464.987839</v>
      </c>
      <c r="W86" s="613">
        <v>101286514977.45734</v>
      </c>
      <c r="X86" s="613">
        <v>105003397805.04303</v>
      </c>
      <c r="Y86" s="613">
        <v>112895031236.6313</v>
      </c>
      <c r="Z86" s="613">
        <v>120927152818.69691</v>
      </c>
      <c r="AA86" s="613">
        <v>127075151562.25497</v>
      </c>
      <c r="AB86" s="613">
        <v>132950350984.77399</v>
      </c>
      <c r="AC86" s="613">
        <v>140786359714.93692</v>
      </c>
      <c r="AD86" s="613">
        <v>151802594344.13</v>
      </c>
      <c r="AE86" s="613">
        <v>155294054014.04498</v>
      </c>
      <c r="AF86" s="613">
        <v>158089346986.29779</v>
      </c>
      <c r="AG86" s="613"/>
    </row>
    <row r="87" spans="1:33">
      <c r="A87" s="22">
        <v>645</v>
      </c>
      <c r="B87" s="22" t="s">
        <v>135</v>
      </c>
      <c r="C87" s="614"/>
      <c r="D87" s="614"/>
      <c r="E87" s="614"/>
      <c r="F87" s="614"/>
      <c r="G87" s="614"/>
      <c r="H87" s="614"/>
      <c r="I87" s="614"/>
      <c r="J87" s="614"/>
      <c r="K87" s="614"/>
      <c r="L87" s="614"/>
      <c r="M87" s="614"/>
      <c r="N87" s="614"/>
      <c r="O87" s="614"/>
      <c r="P87" s="614"/>
      <c r="Q87" s="614"/>
      <c r="R87" s="614"/>
      <c r="S87" s="614"/>
      <c r="T87" s="614">
        <v>16060664605.826309</v>
      </c>
      <c r="U87" s="614">
        <v>21649775888.653862</v>
      </c>
      <c r="V87" s="614">
        <v>27018920309.04002</v>
      </c>
      <c r="W87" s="614">
        <v>25857106735.751297</v>
      </c>
      <c r="X87" s="614">
        <v>24150537691.191715</v>
      </c>
      <c r="Y87" s="614">
        <v>22266795751.278767</v>
      </c>
      <c r="Z87" s="614">
        <v>13070609106.000635</v>
      </c>
      <c r="AA87" s="614">
        <v>19148442340.290928</v>
      </c>
      <c r="AB87" s="614">
        <v>19014403324.584694</v>
      </c>
      <c r="AC87" s="614">
        <v>20193296330.708923</v>
      </c>
      <c r="AD87" s="614">
        <v>20496195775.669582</v>
      </c>
      <c r="AE87" s="614">
        <v>22443334374.358154</v>
      </c>
      <c r="AF87" s="614">
        <v>23385954418.081223</v>
      </c>
      <c r="AG87" s="614">
        <v>23583402031.233082</v>
      </c>
    </row>
    <row r="88" spans="1:33">
      <c r="A88" s="22">
        <v>666</v>
      </c>
      <c r="B88" s="22" t="s">
        <v>140</v>
      </c>
      <c r="C88" s="616">
        <v>49886700440.93</v>
      </c>
      <c r="D88" s="616">
        <v>52454797080.355232</v>
      </c>
      <c r="E88" s="616">
        <v>53403618569.913506</v>
      </c>
      <c r="F88" s="616">
        <v>55278524018.484062</v>
      </c>
      <c r="G88" s="616">
        <v>55778106290.004829</v>
      </c>
      <c r="H88" s="616">
        <v>57701236426.292351</v>
      </c>
      <c r="I88" s="616">
        <v>60465952613.762352</v>
      </c>
      <c r="J88" s="616">
        <v>64812056159.943954</v>
      </c>
      <c r="K88" s="616">
        <v>66123943690.507927</v>
      </c>
      <c r="L88" s="616">
        <v>66698652074.032806</v>
      </c>
      <c r="M88" s="616">
        <v>71257818299.665787</v>
      </c>
      <c r="N88" s="616">
        <v>76744227819.157349</v>
      </c>
      <c r="O88" s="616">
        <v>81063235706.941406</v>
      </c>
      <c r="P88" s="616">
        <v>85567816077.742584</v>
      </c>
      <c r="Q88" s="616">
        <v>91499228083.739029</v>
      </c>
      <c r="R88" s="616">
        <v>97605994259.879242</v>
      </c>
      <c r="S88" s="616">
        <v>103100966236.28601</v>
      </c>
      <c r="T88" s="616">
        <v>106055722751.67993</v>
      </c>
      <c r="U88" s="616">
        <v>110592644291.29491</v>
      </c>
      <c r="V88" s="616">
        <v>114242908575.70595</v>
      </c>
      <c r="W88" s="616">
        <v>124749221298.40825</v>
      </c>
      <c r="X88" s="616">
        <v>124696252163.68181</v>
      </c>
      <c r="Y88" s="616">
        <v>123867170054.91966</v>
      </c>
      <c r="Z88" s="616">
        <v>125739513817.20747</v>
      </c>
      <c r="AA88" s="616">
        <v>132024416802.79594</v>
      </c>
      <c r="AB88" s="616">
        <v>138756102924.77289</v>
      </c>
      <c r="AC88" s="616">
        <v>146663012935.92017</v>
      </c>
      <c r="AD88" s="616">
        <v>154457996862.38452</v>
      </c>
      <c r="AE88" s="616">
        <v>161040448204.78427</v>
      </c>
      <c r="AF88" s="616">
        <v>162273938142.15369</v>
      </c>
      <c r="AG88" s="616">
        <v>169826905325.15189</v>
      </c>
    </row>
    <row r="89" spans="1:33">
      <c r="A89" s="22">
        <v>325</v>
      </c>
      <c r="B89" s="22" t="s">
        <v>53</v>
      </c>
      <c r="C89" s="617">
        <v>739125062833.97827</v>
      </c>
      <c r="D89" s="617">
        <v>745364960843.92847</v>
      </c>
      <c r="E89" s="617">
        <v>748447683434.67834</v>
      </c>
      <c r="F89" s="617">
        <v>757198559977.88818</v>
      </c>
      <c r="G89" s="617">
        <v>781624667680.1178</v>
      </c>
      <c r="H89" s="617">
        <v>803495195964.62122</v>
      </c>
      <c r="I89" s="617">
        <v>826474932743.68884</v>
      </c>
      <c r="J89" s="617">
        <v>852855687119.95569</v>
      </c>
      <c r="K89" s="617">
        <v>888627672194.58252</v>
      </c>
      <c r="L89" s="617">
        <v>918737785701.12402</v>
      </c>
      <c r="M89" s="617">
        <v>937595627418.46338</v>
      </c>
      <c r="N89" s="617">
        <v>951975853141.6991</v>
      </c>
      <c r="O89" s="617">
        <v>959334094343.09949</v>
      </c>
      <c r="P89" s="617">
        <v>950813137092.31641</v>
      </c>
      <c r="Q89" s="617">
        <v>971273603279.89709</v>
      </c>
      <c r="R89" s="617">
        <v>998731154413.11975</v>
      </c>
      <c r="S89" s="617">
        <v>1009671064123.8254</v>
      </c>
      <c r="T89" s="617">
        <v>1028574637921.5037</v>
      </c>
      <c r="U89" s="617">
        <v>1042988318592.2241</v>
      </c>
      <c r="V89" s="617">
        <v>1058260582273.8162</v>
      </c>
      <c r="W89" s="617">
        <v>1097344131195.8726</v>
      </c>
      <c r="X89" s="617">
        <v>1117296202321.7249</v>
      </c>
      <c r="Y89" s="617">
        <v>1122369287820.1587</v>
      </c>
      <c r="Z89" s="617">
        <v>1122179341256.6799</v>
      </c>
      <c r="AA89" s="617">
        <v>1139369120140.0408</v>
      </c>
      <c r="AB89" s="617">
        <v>1146841912658.9277</v>
      </c>
      <c r="AC89" s="617">
        <v>1170191957803.575</v>
      </c>
      <c r="AD89" s="617">
        <v>1187536909894.9697</v>
      </c>
      <c r="AE89" s="617">
        <v>1171823045881.7029</v>
      </c>
      <c r="AF89" s="617">
        <v>1110683951630.7354</v>
      </c>
      <c r="AG89" s="617">
        <v>1125076959277.6858</v>
      </c>
    </row>
    <row r="90" spans="1:33">
      <c r="A90" s="22">
        <v>51</v>
      </c>
      <c r="B90" s="22" t="s">
        <v>6</v>
      </c>
      <c r="C90" s="618">
        <v>5800931098.2413349</v>
      </c>
      <c r="D90" s="618">
        <v>5954043656.6544733</v>
      </c>
      <c r="E90" s="618">
        <v>6077246611.9557323</v>
      </c>
      <c r="F90" s="618">
        <v>6193266013.7997046</v>
      </c>
      <c r="G90" s="618">
        <v>6097744435.4819231</v>
      </c>
      <c r="H90" s="618">
        <v>5918249060.7568045</v>
      </c>
      <c r="I90" s="618">
        <v>6029665318.7905188</v>
      </c>
      <c r="J90" s="618">
        <v>6503015441.6190691</v>
      </c>
      <c r="K90" s="618">
        <v>6761464914.4455986</v>
      </c>
      <c r="L90" s="618">
        <v>7246485371.6216536</v>
      </c>
      <c r="M90" s="618">
        <v>7550876534.5539141</v>
      </c>
      <c r="N90" s="618">
        <v>7916205968.3877535</v>
      </c>
      <c r="O90" s="618">
        <v>8071010740.7550716</v>
      </c>
      <c r="P90" s="618">
        <v>8831066100.5733948</v>
      </c>
      <c r="Q90" s="618">
        <v>8953234168.6283493</v>
      </c>
      <c r="R90" s="618">
        <v>9163631326.0441895</v>
      </c>
      <c r="S90" s="618">
        <v>9153209417.2802906</v>
      </c>
      <c r="T90" s="618">
        <v>9048820736.8748741</v>
      </c>
      <c r="U90" s="618">
        <v>8837571171.9101524</v>
      </c>
      <c r="V90" s="618">
        <v>8930160095.9468327</v>
      </c>
      <c r="W90" s="618">
        <v>9008629729.4103069</v>
      </c>
      <c r="X90" s="618">
        <v>9129789453.1951218</v>
      </c>
      <c r="Y90" s="618">
        <v>9218385750.0604992</v>
      </c>
      <c r="Z90" s="618">
        <v>9682307282.0346451</v>
      </c>
      <c r="AA90" s="618">
        <v>9817160112.1019688</v>
      </c>
      <c r="AB90" s="618">
        <v>9918240838.0851135</v>
      </c>
      <c r="AC90" s="618">
        <v>10187058987.877298</v>
      </c>
      <c r="AD90" s="618">
        <v>10332606622.208696</v>
      </c>
      <c r="AE90" s="618">
        <v>10508260934.786243</v>
      </c>
      <c r="AF90" s="618">
        <v>10245554411.416588</v>
      </c>
      <c r="AG90" s="618">
        <v>10194326639.359503</v>
      </c>
    </row>
    <row r="91" spans="1:33">
      <c r="A91" s="22">
        <v>663</v>
      </c>
      <c r="B91" s="22" t="s">
        <v>139</v>
      </c>
      <c r="C91" s="620">
        <v>4212997005.4567223</v>
      </c>
      <c r="D91" s="620">
        <v>4411324538.511878</v>
      </c>
      <c r="E91" s="620">
        <v>4737101896.0876875</v>
      </c>
      <c r="F91" s="620">
        <v>4831388756.064744</v>
      </c>
      <c r="G91" s="620">
        <v>5248851956.7906532</v>
      </c>
      <c r="H91" s="620">
        <v>5430272880.4706068</v>
      </c>
      <c r="I91" s="620">
        <v>5811160746.604001</v>
      </c>
      <c r="J91" s="620">
        <v>5979428780.6191778</v>
      </c>
      <c r="K91" s="620">
        <v>5868683684.7497644</v>
      </c>
      <c r="L91" s="620">
        <v>5079221678.5156212</v>
      </c>
      <c r="M91" s="620">
        <v>5128680653.3699217</v>
      </c>
      <c r="N91" s="620">
        <v>5222222627.5508833</v>
      </c>
      <c r="O91" s="620">
        <v>6196942168.7446022</v>
      </c>
      <c r="P91" s="620">
        <v>6483917244.0249557</v>
      </c>
      <c r="Q91" s="620">
        <v>6807206798.6912317</v>
      </c>
      <c r="R91" s="620">
        <v>7228360644.4188957</v>
      </c>
      <c r="S91" s="620">
        <v>7379252157.2413902</v>
      </c>
      <c r="T91" s="620">
        <v>7623330035.046813</v>
      </c>
      <c r="U91" s="620">
        <v>7852971166.0605831</v>
      </c>
      <c r="V91" s="620">
        <v>8119265586.45364</v>
      </c>
      <c r="W91" s="620">
        <v>8463892909.2329693</v>
      </c>
      <c r="X91" s="620">
        <v>8909880504.039875</v>
      </c>
      <c r="Y91" s="620">
        <v>9425387991.9638996</v>
      </c>
      <c r="Z91" s="620">
        <v>9819187755.0854778</v>
      </c>
      <c r="AA91" s="620">
        <v>10659607238.120125</v>
      </c>
      <c r="AB91" s="620">
        <v>11525306728.071552</v>
      </c>
      <c r="AC91" s="620">
        <v>12440843874.23031</v>
      </c>
      <c r="AD91" s="620">
        <v>13496695598.816662</v>
      </c>
      <c r="AE91" s="620">
        <v>14523640730.038454</v>
      </c>
      <c r="AF91" s="620">
        <v>14861364471.129402</v>
      </c>
      <c r="AG91" s="620">
        <v>15323100297.682295</v>
      </c>
    </row>
    <row r="92" spans="1:33">
      <c r="A92" s="22">
        <v>740</v>
      </c>
      <c r="B92" s="22" t="s">
        <v>159</v>
      </c>
      <c r="C92" s="619">
        <v>2638150219689.9746</v>
      </c>
      <c r="D92" s="619">
        <v>2748341638093.8237</v>
      </c>
      <c r="E92" s="619">
        <v>2841142369311.1426</v>
      </c>
      <c r="F92" s="619">
        <v>2928102294333.5293</v>
      </c>
      <c r="G92" s="619">
        <v>3058809824108.8281</v>
      </c>
      <c r="H92" s="619">
        <v>3252535166634.9609</v>
      </c>
      <c r="I92" s="619">
        <v>3344616930279.1699</v>
      </c>
      <c r="J92" s="619">
        <v>3481994630934.7603</v>
      </c>
      <c r="K92" s="619">
        <v>3730842122014.9297</v>
      </c>
      <c r="L92" s="619">
        <v>3931194034268.8516</v>
      </c>
      <c r="M92" s="619">
        <v>4150255823988.1953</v>
      </c>
      <c r="N92" s="619">
        <v>4288224470725.7881</v>
      </c>
      <c r="O92" s="619">
        <v>4323346309347.6104</v>
      </c>
      <c r="P92" s="619">
        <v>4330741943386.334</v>
      </c>
      <c r="Q92" s="619">
        <v>4368141288260.1567</v>
      </c>
      <c r="R92" s="619">
        <v>4450334685033.707</v>
      </c>
      <c r="S92" s="619">
        <v>4567702799133.3027</v>
      </c>
      <c r="T92" s="619">
        <v>4639121874811.5117</v>
      </c>
      <c r="U92" s="619">
        <v>4544072395154.293</v>
      </c>
      <c r="V92" s="619">
        <v>4537664762841.54</v>
      </c>
      <c r="W92" s="619">
        <v>4667448302100.3936</v>
      </c>
      <c r="X92" s="619">
        <v>4676054586115.2217</v>
      </c>
      <c r="Y92" s="619">
        <v>4688317867963.3086</v>
      </c>
      <c r="Z92" s="619">
        <v>4754589129173.9932</v>
      </c>
      <c r="AA92" s="619">
        <v>4885067516041.7754</v>
      </c>
      <c r="AB92" s="619">
        <v>4979549242568.3535</v>
      </c>
      <c r="AC92" s="619">
        <v>5081105618217.332</v>
      </c>
      <c r="AD92" s="619">
        <v>5201164065494.0586</v>
      </c>
      <c r="AE92" s="619">
        <v>5140555492518.4775</v>
      </c>
      <c r="AF92" s="619">
        <v>4817338836538.5957</v>
      </c>
      <c r="AG92" s="619">
        <v>5064043338016.3418</v>
      </c>
    </row>
    <row r="93" spans="1:33">
      <c r="A93" s="22">
        <v>501</v>
      </c>
      <c r="B93" s="22" t="s">
        <v>106</v>
      </c>
      <c r="C93" s="622">
        <v>7077581918.1536341</v>
      </c>
      <c r="D93" s="622">
        <v>7344657600.1172924</v>
      </c>
      <c r="E93" s="622">
        <v>7455303270.0840282</v>
      </c>
      <c r="F93" s="622">
        <v>7552896935.1860285</v>
      </c>
      <c r="G93" s="622">
        <v>7685466664.9937973</v>
      </c>
      <c r="H93" s="622">
        <v>8015984909.5589666</v>
      </c>
      <c r="I93" s="622">
        <v>8591336667.4272461</v>
      </c>
      <c r="J93" s="622">
        <v>9101413555.8936043</v>
      </c>
      <c r="K93" s="622">
        <v>9665990968.0448818</v>
      </c>
      <c r="L93" s="622">
        <v>10119359657.618879</v>
      </c>
      <c r="M93" s="622">
        <v>10543568372.070591</v>
      </c>
      <c r="N93" s="622">
        <v>10695221449.961117</v>
      </c>
      <c r="O93" s="622">
        <v>10609713799.275253</v>
      </c>
      <c r="P93" s="622">
        <v>10647187018.214222</v>
      </c>
      <c r="Q93" s="622">
        <v>10927504509.971592</v>
      </c>
      <c r="R93" s="622">
        <v>11408994019.190794</v>
      </c>
      <c r="S93" s="622">
        <v>11882106662.829409</v>
      </c>
      <c r="T93" s="622">
        <v>11938535015.796259</v>
      </c>
      <c r="U93" s="622">
        <v>12331338333.245125</v>
      </c>
      <c r="V93" s="622">
        <v>12615623600.732113</v>
      </c>
      <c r="W93" s="622">
        <v>12691278914.240755</v>
      </c>
      <c r="X93" s="622">
        <v>13170997390.458467</v>
      </c>
      <c r="Y93" s="622">
        <v>13243024244.657343</v>
      </c>
      <c r="Z93" s="622">
        <v>13631372692.135139</v>
      </c>
      <c r="AA93" s="622">
        <v>14327158818.282892</v>
      </c>
      <c r="AB93" s="622">
        <v>15173416248.120047</v>
      </c>
      <c r="AC93" s="622">
        <v>16132194654.559744</v>
      </c>
      <c r="AD93" s="622">
        <v>17262608225.21806</v>
      </c>
      <c r="AE93" s="622">
        <v>17530752659.476543</v>
      </c>
      <c r="AF93" s="622">
        <v>17985175221.858543</v>
      </c>
      <c r="AG93" s="622">
        <v>18938389508.617046</v>
      </c>
    </row>
    <row r="94" spans="1:33">
      <c r="A94" s="22">
        <v>946</v>
      </c>
      <c r="B94" s="22" t="s">
        <v>182</v>
      </c>
      <c r="C94" s="623">
        <v>41847584.900809683</v>
      </c>
      <c r="D94" s="623">
        <v>40395127.88729462</v>
      </c>
      <c r="E94" s="623">
        <v>43136551.646898098</v>
      </c>
      <c r="F94" s="623">
        <v>47011744.869742945</v>
      </c>
      <c r="G94" s="623">
        <v>46437159.509584047</v>
      </c>
      <c r="H94" s="623">
        <v>44295200.063878313</v>
      </c>
      <c r="I94" s="623">
        <v>44984702.496068992</v>
      </c>
      <c r="J94" s="623">
        <v>43606882.343770444</v>
      </c>
      <c r="K94" s="623">
        <v>51562223.979784854</v>
      </c>
      <c r="L94" s="623">
        <v>47149171.471347965</v>
      </c>
      <c r="M94" s="623">
        <v>48154992.029646739</v>
      </c>
      <c r="N94" s="623">
        <v>46075822.324329495</v>
      </c>
      <c r="O94" s="623">
        <v>47542408.774090759</v>
      </c>
      <c r="P94" s="623">
        <v>48789248.928038172</v>
      </c>
      <c r="Q94" s="623">
        <v>51197762.360023998</v>
      </c>
      <c r="R94" s="623">
        <v>50565832.041974768</v>
      </c>
      <c r="S94" s="623">
        <v>53614894.719748095</v>
      </c>
      <c r="T94" s="623">
        <v>56550586.770050846</v>
      </c>
      <c r="U94" s="623">
        <v>62756555.234717257</v>
      </c>
      <c r="V94" s="623">
        <v>63631538.128331289</v>
      </c>
      <c r="W94" s="623">
        <v>68239320.704977408</v>
      </c>
      <c r="X94" s="623">
        <v>66141846.026512004</v>
      </c>
      <c r="Y94" s="623">
        <v>70236686.917364672</v>
      </c>
      <c r="Z94" s="623">
        <v>73398500.290925071</v>
      </c>
      <c r="AA94" s="623">
        <v>74066588.158128098</v>
      </c>
      <c r="AB94" s="623">
        <v>74288814.53005226</v>
      </c>
      <c r="AC94" s="623">
        <v>75699705.565708086</v>
      </c>
      <c r="AD94" s="623">
        <v>76008011.329922959</v>
      </c>
      <c r="AE94" s="623">
        <v>75173029.044483528</v>
      </c>
      <c r="AF94" s="623">
        <v>74681961.202014208</v>
      </c>
      <c r="AG94" s="623">
        <v>76026236.503650472</v>
      </c>
    </row>
    <row r="95" spans="1:33" s="534" customFormat="1">
      <c r="A95" s="22">
        <v>347</v>
      </c>
      <c r="B95" s="22" t="s">
        <v>196</v>
      </c>
      <c r="C95" s="625"/>
      <c r="D95" s="625"/>
      <c r="E95" s="625"/>
      <c r="F95" s="625"/>
      <c r="G95" s="625"/>
      <c r="H95" s="625"/>
      <c r="I95" s="625"/>
      <c r="J95" s="625"/>
      <c r="K95" s="625"/>
      <c r="L95" s="625"/>
      <c r="M95" s="625"/>
      <c r="N95" s="625"/>
      <c r="O95" s="625"/>
      <c r="P95" s="625"/>
      <c r="Q95" s="625"/>
      <c r="R95" s="625"/>
      <c r="S95" s="625"/>
      <c r="T95" s="625"/>
      <c r="U95" s="625"/>
      <c r="V95" s="625"/>
      <c r="W95" s="625">
        <v>1849196082.055073</v>
      </c>
      <c r="X95" s="625">
        <v>2347996681.9114866</v>
      </c>
      <c r="Y95" s="625">
        <v>2331538380.5114546</v>
      </c>
      <c r="Z95" s="625">
        <v>2457908803.6374426</v>
      </c>
      <c r="AA95" s="625">
        <v>2522112474.445488</v>
      </c>
      <c r="AB95" s="625">
        <v>2608885202.1238742</v>
      </c>
      <c r="AC95" s="625">
        <v>2761541747.2565746</v>
      </c>
      <c r="AD95" s="625">
        <v>2935518877.3337388</v>
      </c>
      <c r="AE95" s="625">
        <v>3138069679.8697667</v>
      </c>
      <c r="AF95" s="625">
        <v>3229073700.5859895</v>
      </c>
      <c r="AG95" s="625">
        <v>3358236648.6094294</v>
      </c>
    </row>
    <row r="96" spans="1:33">
      <c r="A96" s="22">
        <v>690</v>
      </c>
      <c r="B96" s="22" t="s">
        <v>143</v>
      </c>
      <c r="C96" s="626"/>
      <c r="D96" s="626"/>
      <c r="E96" s="626"/>
      <c r="F96" s="626"/>
      <c r="G96" s="626"/>
      <c r="H96" s="626"/>
      <c r="I96" s="626"/>
      <c r="J96" s="626"/>
      <c r="K96" s="626"/>
      <c r="L96" s="626"/>
      <c r="M96" s="626"/>
      <c r="N96" s="626"/>
      <c r="O96" s="626">
        <v>22530088649.372707</v>
      </c>
      <c r="P96" s="626">
        <v>30188171187.392971</v>
      </c>
      <c r="Q96" s="626">
        <v>32734895320.558372</v>
      </c>
      <c r="R96" s="626">
        <v>34325251800.809406</v>
      </c>
      <c r="S96" s="626">
        <v>34532963147.052902</v>
      </c>
      <c r="T96" s="626">
        <v>35387075587.105087</v>
      </c>
      <c r="U96" s="626">
        <v>36682969799.614342</v>
      </c>
      <c r="V96" s="626">
        <v>36026708083.072853</v>
      </c>
      <c r="W96" s="626">
        <v>37718011468.574898</v>
      </c>
      <c r="X96" s="626">
        <v>37992985755.862625</v>
      </c>
      <c r="Y96" s="626">
        <v>39132775328.538506</v>
      </c>
      <c r="Z96" s="626">
        <v>45910572015.441376</v>
      </c>
      <c r="AA96" s="626">
        <v>50593450361.016403</v>
      </c>
      <c r="AB96" s="626">
        <v>55956356099.284149</v>
      </c>
      <c r="AC96" s="626">
        <v>58866086616.44693</v>
      </c>
      <c r="AD96" s="626">
        <v>61440300584.184158</v>
      </c>
      <c r="AE96" s="626"/>
      <c r="AF96" s="626"/>
      <c r="AG96" s="626"/>
    </row>
    <row r="97" spans="1:33">
      <c r="A97" s="22">
        <v>703</v>
      </c>
      <c r="B97" s="22" t="s">
        <v>151</v>
      </c>
      <c r="C97" s="627"/>
      <c r="D97" s="627"/>
      <c r="E97" s="627"/>
      <c r="F97" s="627"/>
      <c r="G97" s="627"/>
      <c r="H97" s="627"/>
      <c r="I97" s="627">
        <v>1618450257.1105125</v>
      </c>
      <c r="J97" s="627">
        <v>1671858606.5586603</v>
      </c>
      <c r="K97" s="627">
        <v>1892544445.786422</v>
      </c>
      <c r="L97" s="627">
        <v>1945341721.5661094</v>
      </c>
      <c r="M97" s="627">
        <v>2056280604.4635749</v>
      </c>
      <c r="N97" s="627">
        <v>1894840660.7838535</v>
      </c>
      <c r="O97" s="627">
        <v>1631671759.0689354</v>
      </c>
      <c r="P97" s="627">
        <v>1379426326.1164763</v>
      </c>
      <c r="Q97" s="627">
        <v>1102366357.5396647</v>
      </c>
      <c r="R97" s="627">
        <v>1042575969.786726</v>
      </c>
      <c r="S97" s="627">
        <v>1116437289.5829525</v>
      </c>
      <c r="T97" s="627">
        <v>1227133926.9531169</v>
      </c>
      <c r="U97" s="627">
        <v>1253171687.2075377</v>
      </c>
      <c r="V97" s="627">
        <v>1298985004.9866412</v>
      </c>
      <c r="W97" s="627">
        <v>1369691955.022125</v>
      </c>
      <c r="X97" s="627">
        <v>1442656712.1317706</v>
      </c>
      <c r="Y97" s="627">
        <v>1442406367.3081589</v>
      </c>
      <c r="Z97" s="627">
        <v>1543488445.7316899</v>
      </c>
      <c r="AA97" s="627">
        <v>1651947213.0875492</v>
      </c>
      <c r="AB97" s="627">
        <v>1649047249.6643682</v>
      </c>
      <c r="AC97" s="627">
        <v>1700215515.9068017</v>
      </c>
      <c r="AD97" s="627">
        <v>1845462797.7856684</v>
      </c>
      <c r="AE97" s="627">
        <v>2000511497.2104013</v>
      </c>
      <c r="AF97" s="627">
        <v>2058275666.3620605</v>
      </c>
      <c r="AG97" s="627">
        <v>2030314526.7644334</v>
      </c>
    </row>
    <row r="98" spans="1:33">
      <c r="A98" s="22">
        <v>705</v>
      </c>
      <c r="B98" s="22" t="s">
        <v>153</v>
      </c>
      <c r="C98" s="621"/>
      <c r="D98" s="621"/>
      <c r="E98" s="621"/>
      <c r="F98" s="621"/>
      <c r="G98" s="621"/>
      <c r="H98" s="621"/>
      <c r="I98" s="621"/>
      <c r="J98" s="621"/>
      <c r="K98" s="621"/>
      <c r="L98" s="621"/>
      <c r="M98" s="621">
        <v>26348276737.2435</v>
      </c>
      <c r="N98" s="621">
        <v>23449966296.146713</v>
      </c>
      <c r="O98" s="621">
        <v>22207118082.450939</v>
      </c>
      <c r="P98" s="621">
        <v>20164063218.865452</v>
      </c>
      <c r="Q98" s="621">
        <v>17623391253.288406</v>
      </c>
      <c r="R98" s="621">
        <v>16178273170.518755</v>
      </c>
      <c r="S98" s="621">
        <v>16259164536.371347</v>
      </c>
      <c r="T98" s="621">
        <v>16535570333.489662</v>
      </c>
      <c r="U98" s="621">
        <v>16221394497.153358</v>
      </c>
      <c r="V98" s="621">
        <v>16659372148.576502</v>
      </c>
      <c r="W98" s="621">
        <v>18291990619.137001</v>
      </c>
      <c r="X98" s="621">
        <v>20761409352.720497</v>
      </c>
      <c r="Y98" s="621">
        <v>22796027469.287109</v>
      </c>
      <c r="Z98" s="621">
        <v>24916058023.930809</v>
      </c>
      <c r="AA98" s="621">
        <v>27307999594.228134</v>
      </c>
      <c r="AB98" s="621">
        <v>29956875554.868286</v>
      </c>
      <c r="AC98" s="621">
        <v>33162261239.239159</v>
      </c>
      <c r="AD98" s="621">
        <v>36113702489.531502</v>
      </c>
      <c r="AE98" s="621">
        <v>37305454671.685982</v>
      </c>
      <c r="AF98" s="621">
        <v>37753120127.746231</v>
      </c>
      <c r="AG98" s="621">
        <v>40395838536.688446</v>
      </c>
    </row>
    <row r="99" spans="1:33">
      <c r="A99" s="22">
        <v>812</v>
      </c>
      <c r="B99" s="22" t="s">
        <v>170</v>
      </c>
      <c r="C99" s="628"/>
      <c r="D99" s="628"/>
      <c r="E99" s="628"/>
      <c r="F99" s="628"/>
      <c r="G99" s="628">
        <v>734829282.20097005</v>
      </c>
      <c r="H99" s="628">
        <v>772084861.88341653</v>
      </c>
      <c r="I99" s="628">
        <v>809802236.27781796</v>
      </c>
      <c r="J99" s="628">
        <v>798256137.67796993</v>
      </c>
      <c r="K99" s="628">
        <v>782209584.42549026</v>
      </c>
      <c r="L99" s="628">
        <v>893210104.22456527</v>
      </c>
      <c r="M99" s="628">
        <v>943089403.73636031</v>
      </c>
      <c r="N99" s="628">
        <v>994046458.08045101</v>
      </c>
      <c r="O99" s="628">
        <v>1049314027.2947932</v>
      </c>
      <c r="P99" s="628">
        <v>1111355312.6166971</v>
      </c>
      <c r="Q99" s="628">
        <v>1202030998.5134079</v>
      </c>
      <c r="R99" s="628">
        <v>1286548855.1187093</v>
      </c>
      <c r="S99" s="628">
        <v>1375685124.6798561</v>
      </c>
      <c r="T99" s="628">
        <v>1470223462.0776663</v>
      </c>
      <c r="U99" s="628">
        <v>1528556167.1149154</v>
      </c>
      <c r="V99" s="628">
        <v>1640238229.183538</v>
      </c>
      <c r="W99" s="628">
        <v>1735155219.367352</v>
      </c>
      <c r="X99" s="628">
        <v>1835221841.0148349</v>
      </c>
      <c r="Y99" s="628">
        <v>1943755638.3401816</v>
      </c>
      <c r="Z99" s="628">
        <v>2062603995.1276534</v>
      </c>
      <c r="AA99" s="628">
        <v>2194610650.8158231</v>
      </c>
      <c r="AB99" s="628">
        <v>2350428007.0237465</v>
      </c>
      <c r="AC99" s="628">
        <v>2550039476.5889339</v>
      </c>
      <c r="AD99" s="628">
        <v>2737813324.1374607</v>
      </c>
      <c r="AE99" s="628">
        <v>2943490251.6201224</v>
      </c>
      <c r="AF99" s="628">
        <v>3163723118.6630573</v>
      </c>
      <c r="AG99" s="628">
        <v>3429876448.1456289</v>
      </c>
    </row>
    <row r="100" spans="1:33">
      <c r="A100" s="22">
        <v>367</v>
      </c>
      <c r="B100" s="22" t="s">
        <v>69</v>
      </c>
      <c r="C100" s="629">
        <v>8040771350.9131727</v>
      </c>
      <c r="D100" s="629">
        <v>8381023297.4665098</v>
      </c>
      <c r="E100" s="629">
        <v>8577998697.6832628</v>
      </c>
      <c r="F100" s="629">
        <v>9025725371.1997509</v>
      </c>
      <c r="G100" s="629">
        <v>9545052777.0781002</v>
      </c>
      <c r="H100" s="629">
        <v>9509215112.2895107</v>
      </c>
      <c r="I100" s="629">
        <v>9956941785.8059807</v>
      </c>
      <c r="J100" s="629">
        <v>10189755819.606346</v>
      </c>
      <c r="K100" s="629">
        <v>10709082256.689709</v>
      </c>
      <c r="L100" s="629">
        <v>11317947634.429329</v>
      </c>
      <c r="M100" s="629">
        <v>10418900247.32069</v>
      </c>
      <c r="N100" s="629">
        <v>9106616652.9266262</v>
      </c>
      <c r="O100" s="629">
        <v>6181701566.3643847</v>
      </c>
      <c r="P100" s="629">
        <v>5873668623.3466597</v>
      </c>
      <c r="Q100" s="629">
        <v>6002296784.8309965</v>
      </c>
      <c r="R100" s="629">
        <v>5945589447.6504517</v>
      </c>
      <c r="S100" s="629">
        <v>6170981038.7469072</v>
      </c>
      <c r="T100" s="629">
        <v>6682110469.9093142</v>
      </c>
      <c r="U100" s="629">
        <v>6997691673.536685</v>
      </c>
      <c r="V100" s="629">
        <v>7326519373.4542446</v>
      </c>
      <c r="W100" s="629">
        <v>7833068425.3915901</v>
      </c>
      <c r="X100" s="629">
        <v>8463121187.1393223</v>
      </c>
      <c r="Y100" s="629">
        <v>9010898598.5160732</v>
      </c>
      <c r="Z100" s="629">
        <v>9659317394.8887043</v>
      </c>
      <c r="AA100" s="629">
        <v>10497533388.293486</v>
      </c>
      <c r="AB100" s="629">
        <v>11610367683.429512</v>
      </c>
      <c r="AC100" s="629">
        <v>13030690849.134377</v>
      </c>
      <c r="AD100" s="629">
        <v>14330842539.159109</v>
      </c>
      <c r="AE100" s="629">
        <v>13722705688.375927</v>
      </c>
      <c r="AF100" s="629">
        <v>11258794723.825226</v>
      </c>
      <c r="AG100" s="629">
        <v>11220120362.737015</v>
      </c>
    </row>
    <row r="101" spans="1:33">
      <c r="A101" s="22">
        <v>450</v>
      </c>
      <c r="B101" s="22" t="s">
        <v>94</v>
      </c>
      <c r="C101" s="632">
        <v>1390882417.8038549</v>
      </c>
      <c r="D101" s="632">
        <v>1361162758.1790047</v>
      </c>
      <c r="E101" s="632">
        <v>1328046467.3969924</v>
      </c>
      <c r="F101" s="632">
        <v>1302855419.1816072</v>
      </c>
      <c r="G101" s="632">
        <v>1275400134.3015146</v>
      </c>
      <c r="H101" s="632">
        <v>1264644388.7839282</v>
      </c>
      <c r="I101" s="632">
        <v>1243416099.9319065</v>
      </c>
      <c r="J101" s="632">
        <v>1230962107.8757641</v>
      </c>
      <c r="K101" s="632">
        <v>1205827120.1607978</v>
      </c>
      <c r="L101" s="632">
        <v>884251662.55273271</v>
      </c>
      <c r="M101" s="632">
        <v>433010407.71623755</v>
      </c>
      <c r="N101" s="632">
        <v>371413760.28076875</v>
      </c>
      <c r="O101" s="632">
        <v>241100712.81658965</v>
      </c>
      <c r="P101" s="632">
        <v>161596808.8587254</v>
      </c>
      <c r="Q101" s="632">
        <v>126429546.04968369</v>
      </c>
      <c r="R101" s="632">
        <v>121035794.08510675</v>
      </c>
      <c r="S101" s="632">
        <v>135706799.42875603</v>
      </c>
      <c r="T101" s="632">
        <v>279935726.96154362</v>
      </c>
      <c r="U101" s="632">
        <v>363076624.92411733</v>
      </c>
      <c r="V101" s="632">
        <v>446221182.0080238</v>
      </c>
      <c r="W101" s="632">
        <v>560900012.21772099</v>
      </c>
      <c r="X101" s="632">
        <v>577166118.30235708</v>
      </c>
      <c r="Y101" s="632">
        <v>598521302.7205981</v>
      </c>
      <c r="Z101" s="632">
        <v>411184128.68640858</v>
      </c>
      <c r="AA101" s="632">
        <v>421874907.54033208</v>
      </c>
      <c r="AB101" s="632">
        <v>444234279.12433022</v>
      </c>
      <c r="AC101" s="632">
        <v>478884535.70506173</v>
      </c>
      <c r="AD101" s="632">
        <v>523899702.22102487</v>
      </c>
      <c r="AE101" s="632">
        <v>561096581.07871759</v>
      </c>
      <c r="AF101" s="632">
        <v>586840213.7459718</v>
      </c>
      <c r="AG101" s="632">
        <v>619202725.53343344</v>
      </c>
    </row>
    <row r="102" spans="1:33">
      <c r="A102" s="22">
        <v>660</v>
      </c>
      <c r="B102" s="22" t="s">
        <v>138</v>
      </c>
      <c r="C102" s="630"/>
      <c r="D102" s="630"/>
      <c r="E102" s="630"/>
      <c r="F102" s="630"/>
      <c r="G102" s="630"/>
      <c r="H102" s="630"/>
      <c r="I102" s="630"/>
      <c r="J102" s="630"/>
      <c r="K102" s="630">
        <v>12416994225.313726</v>
      </c>
      <c r="L102" s="630">
        <v>7145841327.9745312</v>
      </c>
      <c r="M102" s="630">
        <v>9041858847.5341377</v>
      </c>
      <c r="N102" s="630">
        <v>12495913043.274763</v>
      </c>
      <c r="O102" s="630">
        <v>13058221252.19408</v>
      </c>
      <c r="P102" s="630">
        <v>13972031151.051767</v>
      </c>
      <c r="Q102" s="630">
        <v>15090233489.363192</v>
      </c>
      <c r="R102" s="630">
        <v>16076372043.340277</v>
      </c>
      <c r="S102" s="630">
        <v>16902135516.399385</v>
      </c>
      <c r="T102" s="630">
        <v>16515619830.716785</v>
      </c>
      <c r="U102" s="630">
        <v>17108967139.848238</v>
      </c>
      <c r="V102" s="630">
        <v>17031450812.560738</v>
      </c>
      <c r="W102" s="630">
        <v>17260364842.454395</v>
      </c>
      <c r="X102" s="630">
        <v>17942756149.902187</v>
      </c>
      <c r="Y102" s="630">
        <v>18548122591.697796</v>
      </c>
      <c r="Z102" s="630">
        <v>19148597728.193516</v>
      </c>
      <c r="AA102" s="630">
        <v>20580683498.635971</v>
      </c>
      <c r="AB102" s="630">
        <v>20786490333.62233</v>
      </c>
      <c r="AC102" s="630">
        <v>20911721880.385895</v>
      </c>
      <c r="AD102" s="630">
        <v>22479246999.736076</v>
      </c>
      <c r="AE102" s="630">
        <v>24564708123.569553</v>
      </c>
      <c r="AF102" s="630">
        <v>26652859915.706928</v>
      </c>
      <c r="AG102" s="630">
        <v>28515382230.348766</v>
      </c>
    </row>
    <row r="103" spans="1:33">
      <c r="A103" s="22">
        <v>570</v>
      </c>
      <c r="B103" s="22" t="s">
        <v>121</v>
      </c>
      <c r="C103" s="631">
        <v>376654900.26950604</v>
      </c>
      <c r="D103" s="631">
        <v>379271289.80252075</v>
      </c>
      <c r="E103" s="631">
        <v>388968505.16199011</v>
      </c>
      <c r="F103" s="631">
        <v>376551068.72266668</v>
      </c>
      <c r="G103" s="631">
        <v>415713707.71813309</v>
      </c>
      <c r="H103" s="631">
        <v>436478629.46317732</v>
      </c>
      <c r="I103" s="631">
        <v>438908116.8748703</v>
      </c>
      <c r="J103" s="631">
        <v>407546340.29752845</v>
      </c>
      <c r="K103" s="631">
        <v>443525167.98217762</v>
      </c>
      <c r="L103" s="631">
        <v>473693114.87588912</v>
      </c>
      <c r="M103" s="631">
        <v>504361452.54285336</v>
      </c>
      <c r="N103" s="631">
        <v>516223230.89598328</v>
      </c>
      <c r="O103" s="631">
        <v>554232468.79857492</v>
      </c>
      <c r="P103" s="631">
        <v>572489678.67862391</v>
      </c>
      <c r="Q103" s="631">
        <v>604961065.7261641</v>
      </c>
      <c r="R103" s="631">
        <v>615714943.77199852</v>
      </c>
      <c r="S103" s="631">
        <v>644484498.05160248</v>
      </c>
      <c r="T103" s="631">
        <v>666637145.17994511</v>
      </c>
      <c r="U103" s="631">
        <v>703230504.97243237</v>
      </c>
      <c r="V103" s="631">
        <v>705877380.57703173</v>
      </c>
      <c r="W103" s="631">
        <v>745832990.09221077</v>
      </c>
      <c r="X103" s="631">
        <v>776897959.92262816</v>
      </c>
      <c r="Y103" s="631">
        <v>785207642.15412688</v>
      </c>
      <c r="Z103" s="631">
        <v>819332552.60349262</v>
      </c>
      <c r="AA103" s="631">
        <v>837801746.24166882</v>
      </c>
      <c r="AB103" s="631">
        <v>858287180.78927064</v>
      </c>
      <c r="AC103" s="631">
        <v>898837835.84247243</v>
      </c>
      <c r="AD103" s="631">
        <v>938863223.3431716</v>
      </c>
      <c r="AE103" s="631">
        <v>982670537.22188962</v>
      </c>
      <c r="AF103" s="631">
        <v>1012715841.225039</v>
      </c>
      <c r="AG103" s="631">
        <v>1046135463.9854654</v>
      </c>
    </row>
    <row r="104" spans="1:33">
      <c r="A104" s="22">
        <v>620</v>
      </c>
      <c r="B104" s="22" t="s">
        <v>131</v>
      </c>
      <c r="C104" s="633"/>
      <c r="D104" s="633"/>
      <c r="E104" s="633"/>
      <c r="F104" s="633"/>
      <c r="G104" s="633"/>
      <c r="H104" s="633"/>
      <c r="I104" s="633"/>
      <c r="J104" s="633"/>
      <c r="K104" s="633"/>
      <c r="L104" s="633"/>
      <c r="M104" s="633"/>
      <c r="N104" s="633"/>
      <c r="O104" s="633"/>
      <c r="P104" s="633"/>
      <c r="Q104" s="633"/>
      <c r="R104" s="633"/>
      <c r="S104" s="633"/>
      <c r="T104" s="633"/>
      <c r="U104" s="633"/>
      <c r="V104" s="633">
        <v>32687175381.649578</v>
      </c>
      <c r="W104" s="633">
        <v>33896600870.770611</v>
      </c>
      <c r="X104" s="633">
        <v>32439047033.327473</v>
      </c>
      <c r="Y104" s="633">
        <v>32017339421.894215</v>
      </c>
      <c r="Z104" s="633">
        <v>36179593546.740456</v>
      </c>
      <c r="AA104" s="633">
        <v>37771495662.797035</v>
      </c>
      <c r="AB104" s="633">
        <v>41510873733.413933</v>
      </c>
      <c r="AC104" s="633">
        <v>43960015283.685356</v>
      </c>
      <c r="AD104" s="633">
        <v>46597616200.706482</v>
      </c>
      <c r="AE104" s="633">
        <v>48368325616.333328</v>
      </c>
      <c r="AF104" s="633">
        <v>49384060454.276321</v>
      </c>
      <c r="AG104" s="633"/>
    </row>
    <row r="105" spans="1:33" s="534" customFormat="1">
      <c r="A105" s="22">
        <v>223</v>
      </c>
      <c r="B105" s="22" t="s">
        <v>42</v>
      </c>
      <c r="C105" s="634">
        <v>954927049.73968863</v>
      </c>
      <c r="D105" s="634">
        <v>1000905018.6740308</v>
      </c>
      <c r="E105" s="634">
        <v>984989567.70687556</v>
      </c>
      <c r="F105" s="634">
        <v>990294717.83189106</v>
      </c>
      <c r="G105" s="634">
        <v>1032735920.0162253</v>
      </c>
      <c r="H105" s="634">
        <v>1105239640.7598693</v>
      </c>
      <c r="I105" s="634">
        <v>1149449226.319211</v>
      </c>
      <c r="J105" s="634">
        <v>1255552231.7800498</v>
      </c>
      <c r="K105" s="634">
        <v>1326287568.5565708</v>
      </c>
      <c r="L105" s="634">
        <v>1385864181.532619</v>
      </c>
      <c r="M105" s="634">
        <v>1417085934.8932774</v>
      </c>
      <c r="N105" s="634">
        <v>1442610029.0583611</v>
      </c>
      <c r="O105" s="634">
        <v>1494663645.0705147</v>
      </c>
      <c r="P105" s="634">
        <v>1559413977.3247063</v>
      </c>
      <c r="Q105" s="634">
        <v>1666485603.0091639</v>
      </c>
      <c r="R105" s="634">
        <v>1764400811.7986104</v>
      </c>
      <c r="S105" s="634">
        <v>1886238025.1562834</v>
      </c>
      <c r="T105" s="634">
        <v>2022521257.0147901</v>
      </c>
      <c r="U105" s="634">
        <v>2179494437.7584038</v>
      </c>
      <c r="V105" s="634">
        <v>2406399936.6429939</v>
      </c>
      <c r="W105" s="634">
        <v>2483890593.705452</v>
      </c>
      <c r="X105" s="634">
        <v>2465681398.946321</v>
      </c>
      <c r="Y105" s="634">
        <v>2441174518.6422057</v>
      </c>
      <c r="Z105" s="634">
        <v>2393875185.5190735</v>
      </c>
      <c r="AA105" s="634">
        <v>2466629164.057632</v>
      </c>
      <c r="AB105" s="634">
        <v>2585719908.7540717</v>
      </c>
      <c r="AC105" s="634">
        <v>2809254591.2363095</v>
      </c>
      <c r="AD105" s="634">
        <v>2902689337.8156943</v>
      </c>
      <c r="AE105" s="634">
        <v>2954882284.1680012</v>
      </c>
      <c r="AF105" s="634">
        <v>2920680062.2938805</v>
      </c>
      <c r="AG105" s="634"/>
    </row>
    <row r="106" spans="1:33">
      <c r="A106" s="22">
        <v>368</v>
      </c>
      <c r="B106" s="22" t="s">
        <v>70</v>
      </c>
      <c r="C106" s="635"/>
      <c r="D106" s="635"/>
      <c r="E106" s="635"/>
      <c r="F106" s="635"/>
      <c r="G106" s="635"/>
      <c r="H106" s="635"/>
      <c r="I106" s="635"/>
      <c r="J106" s="635"/>
      <c r="K106" s="635"/>
      <c r="L106" s="635"/>
      <c r="M106" s="635">
        <v>15866609805.264505</v>
      </c>
      <c r="N106" s="635">
        <v>14966074503.629381</v>
      </c>
      <c r="O106" s="635">
        <v>11784441130.447454</v>
      </c>
      <c r="P106" s="635">
        <v>9872196086.1317768</v>
      </c>
      <c r="Q106" s="635">
        <v>8908072279.1631527</v>
      </c>
      <c r="R106" s="635">
        <v>9201155000.0000019</v>
      </c>
      <c r="S106" s="635">
        <v>9678020500.0000019</v>
      </c>
      <c r="T106" s="635">
        <v>10400885250.000002</v>
      </c>
      <c r="U106" s="635">
        <v>11194349750</v>
      </c>
      <c r="V106" s="635">
        <v>11074208250</v>
      </c>
      <c r="W106" s="635">
        <v>11434200000</v>
      </c>
      <c r="X106" s="635">
        <v>12204375000</v>
      </c>
      <c r="Y106" s="635">
        <v>13042025000</v>
      </c>
      <c r="Z106" s="635">
        <v>14378400000</v>
      </c>
      <c r="AA106" s="635">
        <v>15435325000.000002</v>
      </c>
      <c r="AB106" s="635">
        <v>16639625000.000004</v>
      </c>
      <c r="AC106" s="635">
        <v>17944975000.000004</v>
      </c>
      <c r="AD106" s="635">
        <v>19710725000.000004</v>
      </c>
      <c r="AE106" s="635">
        <v>20287746250.000004</v>
      </c>
      <c r="AF106" s="635">
        <v>17296985000.000004</v>
      </c>
      <c r="AG106" s="635">
        <v>17527068250.000004</v>
      </c>
    </row>
    <row r="107" spans="1:33">
      <c r="A107" s="22">
        <v>212</v>
      </c>
      <c r="B107" s="22" t="s">
        <v>39</v>
      </c>
      <c r="C107" s="636">
        <v>7649164741.1092682</v>
      </c>
      <c r="D107" s="636">
        <v>7607021623.3646574</v>
      </c>
      <c r="E107" s="636">
        <v>7693079629.6296282</v>
      </c>
      <c r="F107" s="636">
        <v>7923031693.3849258</v>
      </c>
      <c r="G107" s="636">
        <v>8413224847.9823093</v>
      </c>
      <c r="H107" s="636">
        <v>8648097365.0267162</v>
      </c>
      <c r="I107" s="636">
        <v>9511517772.2498589</v>
      </c>
      <c r="J107" s="636">
        <v>9887315745.3473339</v>
      </c>
      <c r="K107" s="636">
        <v>10724107241.569925</v>
      </c>
      <c r="L107" s="636">
        <v>11774861857.379765</v>
      </c>
      <c r="M107" s="636">
        <v>12401276515.570295</v>
      </c>
      <c r="N107" s="636">
        <v>13473266491.615993</v>
      </c>
      <c r="O107" s="636">
        <v>13718433158.282661</v>
      </c>
      <c r="P107" s="636">
        <v>14294696241.017139</v>
      </c>
      <c r="Q107" s="636">
        <v>14840885323.383089</v>
      </c>
      <c r="R107" s="636">
        <v>15053436521.098215</v>
      </c>
      <c r="S107" s="636">
        <v>15281923714.759541</v>
      </c>
      <c r="T107" s="636">
        <v>16189515386.032803</v>
      </c>
      <c r="U107" s="636">
        <v>17240187949.143177</v>
      </c>
      <c r="V107" s="636">
        <v>18691450156.62429</v>
      </c>
      <c r="W107" s="636">
        <v>20269578035.747192</v>
      </c>
      <c r="X107" s="636">
        <v>20779804680.302197</v>
      </c>
      <c r="Y107" s="636">
        <v>21632854247.282108</v>
      </c>
      <c r="Z107" s="636">
        <v>21967661691.54229</v>
      </c>
      <c r="AA107" s="636">
        <v>22933941404.090656</v>
      </c>
      <c r="AB107" s="636">
        <v>24179196609.544865</v>
      </c>
      <c r="AC107" s="636">
        <v>25381426202.32172</v>
      </c>
      <c r="AD107" s="636">
        <v>27066427123.641048</v>
      </c>
      <c r="AE107" s="636">
        <v>27456053067.993362</v>
      </c>
      <c r="AF107" s="636">
        <v>26456974387.322643</v>
      </c>
      <c r="AG107" s="636">
        <v>27387230514.096184</v>
      </c>
    </row>
    <row r="108" spans="1:33">
      <c r="A108" s="22">
        <v>435</v>
      </c>
      <c r="B108" s="22" t="s">
        <v>89</v>
      </c>
      <c r="C108" s="645">
        <v>692563038.64522421</v>
      </c>
      <c r="D108" s="645">
        <v>716458461.3375262</v>
      </c>
      <c r="E108" s="645">
        <v>699693876.78779566</v>
      </c>
      <c r="F108" s="645">
        <v>725829836.47391284</v>
      </c>
      <c r="G108" s="645">
        <v>702408291.29446661</v>
      </c>
      <c r="H108" s="645">
        <v>723443737.7221117</v>
      </c>
      <c r="I108" s="645">
        <v>764778269.26052439</v>
      </c>
      <c r="J108" s="645">
        <v>779311994.67588055</v>
      </c>
      <c r="K108" s="645">
        <v>792719262.26561677</v>
      </c>
      <c r="L108" s="645">
        <v>830592102.25529766</v>
      </c>
      <c r="M108" s="645">
        <v>815879786.57328224</v>
      </c>
      <c r="N108" s="645">
        <v>830468428.21430302</v>
      </c>
      <c r="O108" s="645">
        <v>846032451.79374135</v>
      </c>
      <c r="P108" s="645">
        <v>895725329.32425499</v>
      </c>
      <c r="Q108" s="645">
        <v>868309576.39543259</v>
      </c>
      <c r="R108" s="645">
        <v>953575844.05517161</v>
      </c>
      <c r="S108" s="645">
        <v>1009062769.00363</v>
      </c>
      <c r="T108" s="645">
        <v>968249241.29669917</v>
      </c>
      <c r="U108" s="645">
        <v>995146582.34417701</v>
      </c>
      <c r="V108" s="645">
        <v>1061526546.7431303</v>
      </c>
      <c r="W108" s="645">
        <v>1081168277.746254</v>
      </c>
      <c r="X108" s="645">
        <v>1112439500.5393183</v>
      </c>
      <c r="Y108" s="645">
        <v>1124642866.9733329</v>
      </c>
      <c r="Z108" s="645">
        <v>1187557539.2594974</v>
      </c>
      <c r="AA108" s="645">
        <v>1249056454.6603434</v>
      </c>
      <c r="AB108" s="645">
        <v>1317067610.224422</v>
      </c>
      <c r="AC108" s="645">
        <v>1572575625.6986887</v>
      </c>
      <c r="AD108" s="645">
        <v>1482814907.716115</v>
      </c>
      <c r="AE108" s="645">
        <v>1534965564.9816177</v>
      </c>
      <c r="AF108" s="645">
        <v>1516236054.6393578</v>
      </c>
      <c r="AG108" s="645">
        <v>1592148932.2353258</v>
      </c>
    </row>
    <row r="109" spans="1:33">
      <c r="A109" s="22">
        <v>343</v>
      </c>
      <c r="B109" s="22" t="s">
        <v>57</v>
      </c>
      <c r="C109" s="637"/>
      <c r="D109" s="637"/>
      <c r="E109" s="637"/>
      <c r="F109" s="637"/>
      <c r="G109" s="637"/>
      <c r="H109" s="637"/>
      <c r="I109" s="637"/>
      <c r="J109" s="637"/>
      <c r="K109" s="637"/>
      <c r="L109" s="637"/>
      <c r="M109" s="637">
        <v>3932157067.542305</v>
      </c>
      <c r="N109" s="637">
        <v>3689516997.7160144</v>
      </c>
      <c r="O109" s="637">
        <v>3447300380.9296055</v>
      </c>
      <c r="P109" s="637">
        <v>3189802353.1120734</v>
      </c>
      <c r="Q109" s="637">
        <v>3133724417.22472</v>
      </c>
      <c r="R109" s="637">
        <v>3098797308.4098554</v>
      </c>
      <c r="S109" s="637">
        <v>3135512238.7442999</v>
      </c>
      <c r="T109" s="637">
        <v>3180668431.5986404</v>
      </c>
      <c r="U109" s="637">
        <v>3288135721.7834477</v>
      </c>
      <c r="V109" s="637">
        <v>3430814902.6160469</v>
      </c>
      <c r="W109" s="637">
        <v>3586883988.9564552</v>
      </c>
      <c r="X109" s="637">
        <v>3424565368.1209397</v>
      </c>
      <c r="Y109" s="637">
        <v>3453793697.165853</v>
      </c>
      <c r="Z109" s="637">
        <v>3551069283.2015338</v>
      </c>
      <c r="AA109" s="637">
        <v>3696133717.281909</v>
      </c>
      <c r="AB109" s="637">
        <v>3847764009.7648101</v>
      </c>
      <c r="AC109" s="637">
        <v>3999907259.9353852</v>
      </c>
      <c r="AD109" s="637">
        <v>4235901788.2715788</v>
      </c>
      <c r="AE109" s="637">
        <v>4447696877.6851568</v>
      </c>
      <c r="AF109" s="637">
        <v>4407667605.7859907</v>
      </c>
      <c r="AG109" s="637">
        <v>4438521279.0264921</v>
      </c>
    </row>
    <row r="110" spans="1:33">
      <c r="A110" s="22">
        <v>781</v>
      </c>
      <c r="B110" s="22" t="s">
        <v>166</v>
      </c>
      <c r="C110" s="641"/>
      <c r="D110" s="641"/>
      <c r="E110" s="641"/>
      <c r="F110" s="641"/>
      <c r="G110" s="641"/>
      <c r="H110" s="641"/>
      <c r="I110" s="641"/>
      <c r="J110" s="641"/>
      <c r="K110" s="641"/>
      <c r="L110" s="641"/>
      <c r="M110" s="641"/>
      <c r="N110" s="641"/>
      <c r="O110" s="641"/>
      <c r="P110" s="641"/>
      <c r="Q110" s="641"/>
      <c r="R110" s="641">
        <v>420314722.34975982</v>
      </c>
      <c r="S110" s="641">
        <v>458492055.0912227</v>
      </c>
      <c r="T110" s="641">
        <v>506194041.98055565</v>
      </c>
      <c r="U110" s="641">
        <v>555755697.91322267</v>
      </c>
      <c r="V110" s="641">
        <v>595920613.44174111</v>
      </c>
      <c r="W110" s="641">
        <v>624337143.58538663</v>
      </c>
      <c r="X110" s="641">
        <v>645905368.68056357</v>
      </c>
      <c r="Y110" s="641">
        <v>688057866.9961375</v>
      </c>
      <c r="Z110" s="641">
        <v>746809633.4392494</v>
      </c>
      <c r="AA110" s="641">
        <v>817880477.35460675</v>
      </c>
      <c r="AB110" s="641">
        <v>779899934.98809981</v>
      </c>
      <c r="AC110" s="641">
        <v>920103237.6254977</v>
      </c>
      <c r="AD110" s="641">
        <v>986746298.10434496</v>
      </c>
      <c r="AE110" s="641">
        <v>1047544684.4469992</v>
      </c>
      <c r="AF110" s="641">
        <v>1023457542.5523856</v>
      </c>
      <c r="AG110" s="641">
        <v>1072369790.2476979</v>
      </c>
    </row>
    <row r="111" spans="1:33">
      <c r="A111" s="22">
        <v>580</v>
      </c>
      <c r="B111" s="22" t="s">
        <v>124</v>
      </c>
      <c r="C111" s="638">
        <v>3098663595.5533218</v>
      </c>
      <c r="D111" s="638">
        <v>2798130770.5155463</v>
      </c>
      <c r="E111" s="638">
        <v>2747479170.7900786</v>
      </c>
      <c r="F111" s="638">
        <v>2772264354.2353811</v>
      </c>
      <c r="G111" s="638">
        <v>2819522557.8813977</v>
      </c>
      <c r="H111" s="638">
        <v>2852112775.6236062</v>
      </c>
      <c r="I111" s="638">
        <v>2907988681.1156564</v>
      </c>
      <c r="J111" s="638">
        <v>2942247274.9881601</v>
      </c>
      <c r="K111" s="638">
        <v>3042384219.1899209</v>
      </c>
      <c r="L111" s="638">
        <v>3166479809.705493</v>
      </c>
      <c r="M111" s="638">
        <v>3265591559.324069</v>
      </c>
      <c r="N111" s="638">
        <v>3059547936.2974439</v>
      </c>
      <c r="O111" s="638">
        <v>3095838834.6940689</v>
      </c>
      <c r="P111" s="638">
        <v>3160744947.5999532</v>
      </c>
      <c r="Q111" s="638">
        <v>3158481593.5094442</v>
      </c>
      <c r="R111" s="638">
        <v>3212561531.5428381</v>
      </c>
      <c r="S111" s="638">
        <v>3281596748.9568653</v>
      </c>
      <c r="T111" s="638">
        <v>3402802282.5697098</v>
      </c>
      <c r="U111" s="638">
        <v>3536611916.7000499</v>
      </c>
      <c r="V111" s="638">
        <v>3701386758.1498852</v>
      </c>
      <c r="W111" s="638">
        <v>3877575177.2596846</v>
      </c>
      <c r="X111" s="638">
        <v>4110920842.4368243</v>
      </c>
      <c r="Y111" s="638">
        <v>3589911444.4162436</v>
      </c>
      <c r="Z111" s="638">
        <v>3941180406.5164728</v>
      </c>
      <c r="AA111" s="638">
        <v>4148368403.2247205</v>
      </c>
      <c r="AB111" s="638">
        <v>4339312825.2375221</v>
      </c>
      <c r="AC111" s="638">
        <v>4557258851.965353</v>
      </c>
      <c r="AD111" s="638">
        <v>4841663812.6613894</v>
      </c>
      <c r="AE111" s="638">
        <v>5186794027.8804502</v>
      </c>
      <c r="AF111" s="638">
        <v>4949331454.5666485</v>
      </c>
      <c r="AG111" s="638">
        <v>5026822442.5929165</v>
      </c>
    </row>
    <row r="112" spans="1:33">
      <c r="A112" s="22">
        <v>820</v>
      </c>
      <c r="B112" s="22" t="s">
        <v>172</v>
      </c>
      <c r="C112" s="640">
        <v>26414956465.184574</v>
      </c>
      <c r="D112" s="640">
        <v>28248670149.592018</v>
      </c>
      <c r="E112" s="640">
        <v>29926902977.642643</v>
      </c>
      <c r="F112" s="640">
        <v>31797409674.66835</v>
      </c>
      <c r="G112" s="640">
        <v>34265500870.792767</v>
      </c>
      <c r="H112" s="640">
        <v>33880956781.857635</v>
      </c>
      <c r="I112" s="640">
        <v>34271437817.289635</v>
      </c>
      <c r="J112" s="640">
        <v>36118204026.356133</v>
      </c>
      <c r="K112" s="640">
        <v>39707531539.069946</v>
      </c>
      <c r="L112" s="640">
        <v>43304430756.751144</v>
      </c>
      <c r="M112" s="640">
        <v>47206008084.276596</v>
      </c>
      <c r="N112" s="640">
        <v>51712041005.094856</v>
      </c>
      <c r="O112" s="640">
        <v>56306715784.737007</v>
      </c>
      <c r="P112" s="640">
        <v>61878235379.5009</v>
      </c>
      <c r="Q112" s="640">
        <v>67578484905.747765</v>
      </c>
      <c r="R112" s="640">
        <v>74220829682.586121</v>
      </c>
      <c r="S112" s="640">
        <v>81644917419.379044</v>
      </c>
      <c r="T112" s="640">
        <v>87623564853.459335</v>
      </c>
      <c r="U112" s="640">
        <v>81174982743.488205</v>
      </c>
      <c r="V112" s="640">
        <v>86157186505.878723</v>
      </c>
      <c r="W112" s="640">
        <v>93789738019.011475</v>
      </c>
      <c r="X112" s="640">
        <v>94275264340.893509</v>
      </c>
      <c r="Y112" s="640">
        <v>99357632825.721466</v>
      </c>
      <c r="Z112" s="640">
        <v>105108948687.36467</v>
      </c>
      <c r="AA112" s="640">
        <v>112238948776.83438</v>
      </c>
      <c r="AB112" s="640">
        <v>118223685694.03819</v>
      </c>
      <c r="AC112" s="640">
        <v>125138422622.91197</v>
      </c>
      <c r="AD112" s="640">
        <v>133247633250.98495</v>
      </c>
      <c r="AE112" s="640">
        <v>139521317540.23566</v>
      </c>
      <c r="AF112" s="640">
        <v>137130264878.65294</v>
      </c>
      <c r="AG112" s="640">
        <v>146942750904.14847</v>
      </c>
    </row>
    <row r="113" spans="1:33">
      <c r="A113" s="22">
        <v>590</v>
      </c>
      <c r="B113" s="22" t="s">
        <v>126</v>
      </c>
      <c r="C113" s="646">
        <v>1519348473.0671368</v>
      </c>
      <c r="D113" s="646">
        <v>1608721912.6593213</v>
      </c>
      <c r="E113" s="646">
        <v>1697154579.2031672</v>
      </c>
      <c r="F113" s="646">
        <v>1703668178.8674862</v>
      </c>
      <c r="G113" s="646">
        <v>1783713081.4090087</v>
      </c>
      <c r="H113" s="646">
        <v>1907760968.3494875</v>
      </c>
      <c r="I113" s="646">
        <v>2093615678.771395</v>
      </c>
      <c r="J113" s="646">
        <v>2279759882.5117168</v>
      </c>
      <c r="K113" s="646">
        <v>2434586280.2795219</v>
      </c>
      <c r="L113" s="646">
        <v>2543294176.5845761</v>
      </c>
      <c r="M113" s="646">
        <v>2726074033.4022522</v>
      </c>
      <c r="N113" s="646">
        <v>2846987581.8198967</v>
      </c>
      <c r="O113" s="646">
        <v>3032403303.2849345</v>
      </c>
      <c r="P113" s="646">
        <v>3186511947.3965921</v>
      </c>
      <c r="Q113" s="646">
        <v>3318310635.1786952</v>
      </c>
      <c r="R113" s="646">
        <v>3460591055.4648314</v>
      </c>
      <c r="S113" s="646">
        <v>3653963480.9228024</v>
      </c>
      <c r="T113" s="646">
        <v>3861781830.2021737</v>
      </c>
      <c r="U113" s="646">
        <v>4096216243.3722429</v>
      </c>
      <c r="V113" s="646">
        <v>4203159418.8072662</v>
      </c>
      <c r="W113" s="646">
        <v>4582562397.9431467</v>
      </c>
      <c r="X113" s="646">
        <v>4700497863.3952513</v>
      </c>
      <c r="Y113" s="646">
        <v>4799834108.8468895</v>
      </c>
      <c r="Z113" s="646">
        <v>4975357150.4409733</v>
      </c>
      <c r="AA113" s="646">
        <v>5261229604.2451878</v>
      </c>
      <c r="AB113" s="646">
        <v>5326541854.3561954</v>
      </c>
      <c r="AC113" s="646">
        <v>5536815244.9748755</v>
      </c>
      <c r="AD113" s="646">
        <v>5862115925.6808004</v>
      </c>
      <c r="AE113" s="646">
        <v>6185646375.2573824</v>
      </c>
      <c r="AF113" s="646">
        <v>6373345224.6598768</v>
      </c>
      <c r="AG113" s="646">
        <v>6630525388.6510029</v>
      </c>
    </row>
    <row r="114" spans="1:33">
      <c r="A114" s="22">
        <v>553</v>
      </c>
      <c r="B114" s="22" t="s">
        <v>118</v>
      </c>
      <c r="C114" s="639">
        <v>999776611.35937822</v>
      </c>
      <c r="D114" s="639">
        <v>946887236.73937953</v>
      </c>
      <c r="E114" s="639">
        <v>970592121.13519883</v>
      </c>
      <c r="F114" s="639">
        <v>1006685618.4268906</v>
      </c>
      <c r="G114" s="639">
        <v>1060647028.6885395</v>
      </c>
      <c r="H114" s="639">
        <v>1109129016.5743935</v>
      </c>
      <c r="I114" s="639">
        <v>1106746579.257715</v>
      </c>
      <c r="J114" s="639">
        <v>1124733858.6969268</v>
      </c>
      <c r="K114" s="639">
        <v>1160469929.2402618</v>
      </c>
      <c r="L114" s="639">
        <v>1176074649.0610847</v>
      </c>
      <c r="M114" s="639">
        <v>1243020281.5477757</v>
      </c>
      <c r="N114" s="639">
        <v>1351538833.7019532</v>
      </c>
      <c r="O114" s="639">
        <v>1252430786.646945</v>
      </c>
      <c r="P114" s="639">
        <v>1373814378.0094757</v>
      </c>
      <c r="Q114" s="639">
        <v>1233133288.9852705</v>
      </c>
      <c r="R114" s="639">
        <v>1439421907.4837549</v>
      </c>
      <c r="S114" s="639">
        <v>1544739823.8793352</v>
      </c>
      <c r="T114" s="639">
        <v>1603322832.3207223</v>
      </c>
      <c r="U114" s="639">
        <v>1665776322.9880292</v>
      </c>
      <c r="V114" s="639">
        <v>1716453871.1772206</v>
      </c>
      <c r="W114" s="639">
        <v>1743506520.28913</v>
      </c>
      <c r="X114" s="639">
        <v>1656767701.3089116</v>
      </c>
      <c r="Y114" s="639">
        <v>1684932752.2311628</v>
      </c>
      <c r="Z114" s="639">
        <v>1777604053.6038766</v>
      </c>
      <c r="AA114" s="639">
        <v>1875372276.5520897</v>
      </c>
      <c r="AB114" s="639">
        <v>1924131955.742444</v>
      </c>
      <c r="AC114" s="639">
        <v>2072290116.3346121</v>
      </c>
      <c r="AD114" s="639">
        <v>2192482943.0820198</v>
      </c>
      <c r="AE114" s="639">
        <v>2381036476.1870737</v>
      </c>
      <c r="AF114" s="639">
        <v>2561995248.3772917</v>
      </c>
      <c r="AG114" s="639">
        <v>2743896911.0120792</v>
      </c>
    </row>
    <row r="115" spans="1:33">
      <c r="A115" s="22">
        <v>70</v>
      </c>
      <c r="B115" s="22" t="s">
        <v>15</v>
      </c>
      <c r="C115" s="647">
        <v>345563280746.97498</v>
      </c>
      <c r="D115" s="647">
        <v>375878167054.00739</v>
      </c>
      <c r="E115" s="647">
        <v>373518018233.03516</v>
      </c>
      <c r="F115" s="647">
        <v>357844094428.58826</v>
      </c>
      <c r="G115" s="647">
        <v>370762913620.17468</v>
      </c>
      <c r="H115" s="647">
        <v>380378220215.40967</v>
      </c>
      <c r="I115" s="647">
        <v>366099126583.80267</v>
      </c>
      <c r="J115" s="647">
        <v>372893000112.5777</v>
      </c>
      <c r="K115" s="647">
        <v>377537151452.89563</v>
      </c>
      <c r="L115" s="647">
        <v>393387268233.08636</v>
      </c>
      <c r="M115" s="647">
        <v>413325339980.80408</v>
      </c>
      <c r="N115" s="647">
        <v>430776972106.14246</v>
      </c>
      <c r="O115" s="647">
        <v>446408398241.76019</v>
      </c>
      <c r="P115" s="647">
        <v>455115704020.58136</v>
      </c>
      <c r="Q115" s="647">
        <v>475405936893.86987</v>
      </c>
      <c r="R115" s="647">
        <v>445845258682.30255</v>
      </c>
      <c r="S115" s="647">
        <v>468760936466.25214</v>
      </c>
      <c r="T115" s="647">
        <v>500522064862.54913</v>
      </c>
      <c r="U115" s="647">
        <v>525080308657.69446</v>
      </c>
      <c r="V115" s="647">
        <v>545418010283.76508</v>
      </c>
      <c r="W115" s="647">
        <v>581426421971.45312</v>
      </c>
      <c r="X115" s="647">
        <v>580513674391.54541</v>
      </c>
      <c r="Y115" s="647">
        <v>585312691416.45239</v>
      </c>
      <c r="Z115" s="647">
        <v>593223360014.08826</v>
      </c>
      <c r="AA115" s="647">
        <v>617269309006.40039</v>
      </c>
      <c r="AB115" s="647">
        <v>637055457596.05249</v>
      </c>
      <c r="AC115" s="647">
        <v>669864782183.05762</v>
      </c>
      <c r="AD115" s="647">
        <v>691704027302.2865</v>
      </c>
      <c r="AE115" s="647">
        <v>702084634491.99512</v>
      </c>
      <c r="AF115" s="647">
        <v>659405115074.50134</v>
      </c>
      <c r="AG115" s="647">
        <v>695674125185.4635</v>
      </c>
    </row>
    <row r="116" spans="1:33">
      <c r="A116" s="22">
        <v>359</v>
      </c>
      <c r="B116" s="22" t="s">
        <v>65</v>
      </c>
      <c r="C116" s="649">
        <v>2804577458.9582906</v>
      </c>
      <c r="D116" s="649">
        <v>2784631719.7066698</v>
      </c>
      <c r="E116" s="649">
        <v>3111294419.1598749</v>
      </c>
      <c r="F116" s="649">
        <v>3246858773.0640621</v>
      </c>
      <c r="G116" s="649">
        <v>3355864082.7782984</v>
      </c>
      <c r="H116" s="649">
        <v>3178309459.2402816</v>
      </c>
      <c r="I116" s="649">
        <v>3429668862.0540128</v>
      </c>
      <c r="J116" s="649">
        <v>3470900663.0293951</v>
      </c>
      <c r="K116" s="649">
        <v>3529644421.8016624</v>
      </c>
      <c r="L116" s="649">
        <v>3707266120.9894619</v>
      </c>
      <c r="M116" s="649">
        <v>3618291734.0857244</v>
      </c>
      <c r="N116" s="649">
        <v>3039365056.6319966</v>
      </c>
      <c r="O116" s="649">
        <v>2154909825.1520844</v>
      </c>
      <c r="P116" s="649">
        <v>2129050907.250272</v>
      </c>
      <c r="Q116" s="649">
        <v>1471174176.9099333</v>
      </c>
      <c r="R116" s="649">
        <v>1450577738.4331942</v>
      </c>
      <c r="S116" s="649">
        <v>1375147696.0346684</v>
      </c>
      <c r="T116" s="649">
        <v>1397150059.1712232</v>
      </c>
      <c r="U116" s="649">
        <v>1306335305.3250937</v>
      </c>
      <c r="V116" s="649">
        <v>1261919904.9440405</v>
      </c>
      <c r="W116" s="649">
        <v>1288420222.9478662</v>
      </c>
      <c r="X116" s="649">
        <v>1367013856.5476844</v>
      </c>
      <c r="Y116" s="649">
        <v>1473640937.3584039</v>
      </c>
      <c r="Z116" s="649">
        <v>1570901239.2240586</v>
      </c>
      <c r="AA116" s="649">
        <v>1687306011.4082386</v>
      </c>
      <c r="AB116" s="649">
        <v>1813877408.6943207</v>
      </c>
      <c r="AC116" s="649">
        <v>1900665177.8829026</v>
      </c>
      <c r="AD116" s="649">
        <v>1958976512.1717577</v>
      </c>
      <c r="AE116" s="649">
        <v>2111088029.6061373</v>
      </c>
      <c r="AF116" s="649">
        <v>1984701981.5294659</v>
      </c>
      <c r="AG116" s="649">
        <v>2122435431.6427159</v>
      </c>
    </row>
    <row r="117" spans="1:33">
      <c r="A117" s="22">
        <v>432</v>
      </c>
      <c r="B117" s="22" t="s">
        <v>86</v>
      </c>
      <c r="C117" s="642">
        <v>1535983932.3336849</v>
      </c>
      <c r="D117" s="642">
        <v>1468223290.4214575</v>
      </c>
      <c r="E117" s="642">
        <v>1400132166.0511034</v>
      </c>
      <c r="F117" s="642">
        <v>1467310041.2475247</v>
      </c>
      <c r="G117" s="642">
        <v>1531425622.0107892</v>
      </c>
      <c r="H117" s="642">
        <v>1357512080.2587531</v>
      </c>
      <c r="I117" s="642">
        <v>1472022433.4368405</v>
      </c>
      <c r="J117" s="642">
        <v>1464393893.1340199</v>
      </c>
      <c r="K117" s="642">
        <v>1486088686.0555453</v>
      </c>
      <c r="L117" s="642">
        <v>1660907789.4205825</v>
      </c>
      <c r="M117" s="642">
        <v>1630136549.5587809</v>
      </c>
      <c r="N117" s="642">
        <v>1656480580.9432569</v>
      </c>
      <c r="O117" s="642">
        <v>1794519416.9799943</v>
      </c>
      <c r="P117" s="642">
        <v>1756127407.0382495</v>
      </c>
      <c r="Q117" s="642">
        <v>1772146134.8097687</v>
      </c>
      <c r="R117" s="642">
        <v>1882178773.0618274</v>
      </c>
      <c r="S117" s="642">
        <v>1942754934.6424839</v>
      </c>
      <c r="T117" s="642">
        <v>2074106419.287914</v>
      </c>
      <c r="U117" s="642">
        <v>2199239626.7929516</v>
      </c>
      <c r="V117" s="642">
        <v>2347354303.753056</v>
      </c>
      <c r="W117" s="642">
        <v>2422469641.4731541</v>
      </c>
      <c r="X117" s="642">
        <v>2715588468.0914059</v>
      </c>
      <c r="Y117" s="642">
        <v>2828375518.2618318</v>
      </c>
      <c r="Z117" s="642">
        <v>3038846112.5787697</v>
      </c>
      <c r="AA117" s="642">
        <v>3105260709.441134</v>
      </c>
      <c r="AB117" s="642">
        <v>3294054174.6350589</v>
      </c>
      <c r="AC117" s="642">
        <v>3468639045.8907166</v>
      </c>
      <c r="AD117" s="642">
        <v>3617790524.8640184</v>
      </c>
      <c r="AE117" s="642">
        <v>3798680051.1072097</v>
      </c>
      <c r="AF117" s="642">
        <v>3969620653.4070535</v>
      </c>
      <c r="AG117" s="642">
        <v>4148253582.8103671</v>
      </c>
    </row>
    <row r="118" spans="1:33">
      <c r="A118" s="22">
        <v>338</v>
      </c>
      <c r="B118" s="22" t="s">
        <v>55</v>
      </c>
      <c r="C118" s="643">
        <v>1609765263.4616318</v>
      </c>
      <c r="D118" s="643">
        <v>1663076865.2472341</v>
      </c>
      <c r="E118" s="643">
        <v>1701069041.0071387</v>
      </c>
      <c r="F118" s="643">
        <v>1690651832.093498</v>
      </c>
      <c r="G118" s="643">
        <v>1706584034.768311</v>
      </c>
      <c r="H118" s="643">
        <v>1750703980.9384949</v>
      </c>
      <c r="I118" s="643">
        <v>1818722232.1006968</v>
      </c>
      <c r="J118" s="643">
        <v>1893481029.3424859</v>
      </c>
      <c r="K118" s="643">
        <v>2052803058.0501952</v>
      </c>
      <c r="L118" s="643">
        <v>2220703964.7444258</v>
      </c>
      <c r="M118" s="643">
        <v>2360417127.9432769</v>
      </c>
      <c r="N118" s="643">
        <v>2508096392.4795346</v>
      </c>
      <c r="O118" s="643">
        <v>2625749583.573092</v>
      </c>
      <c r="P118" s="643">
        <v>2743402773.6868515</v>
      </c>
      <c r="Q118" s="643">
        <v>2898435362.9114008</v>
      </c>
      <c r="R118" s="643">
        <v>3082268472.2804356</v>
      </c>
      <c r="S118" s="643">
        <v>3198696108.1161828</v>
      </c>
      <c r="T118" s="643">
        <v>3366850884.3071885</v>
      </c>
      <c r="U118" s="643">
        <v>3539422299.7660418</v>
      </c>
      <c r="V118" s="643">
        <v>3706482063.5664849</v>
      </c>
      <c r="W118" s="643">
        <v>3893057246.271482</v>
      </c>
      <c r="X118" s="643">
        <v>3830126741.54634</v>
      </c>
      <c r="Y118" s="643">
        <v>3930480504.2348714</v>
      </c>
      <c r="Z118" s="643">
        <v>3918429835.979661</v>
      </c>
      <c r="AA118" s="643">
        <v>3953792817.4101992</v>
      </c>
      <c r="AB118" s="643">
        <v>4112520653.3630276</v>
      </c>
      <c r="AC118" s="643">
        <v>4262038355.6247697</v>
      </c>
      <c r="AD118" s="643">
        <v>4419590429.8297939</v>
      </c>
      <c r="AE118" s="643">
        <v>4533345378.9293222</v>
      </c>
      <c r="AF118" s="643">
        <v>4437128875.9011307</v>
      </c>
      <c r="AG118" s="643"/>
    </row>
    <row r="119" spans="1:33">
      <c r="A119" s="22">
        <v>221</v>
      </c>
      <c r="B119" s="22" t="s">
        <v>41</v>
      </c>
      <c r="C119" s="650">
        <v>1717006711.9597154</v>
      </c>
      <c r="D119" s="650">
        <v>1732844010.4692569</v>
      </c>
      <c r="E119" s="650">
        <v>1774993525.7404928</v>
      </c>
      <c r="F119" s="650">
        <v>1796204225.3207548</v>
      </c>
      <c r="G119" s="650">
        <v>1822869157.8610377</v>
      </c>
      <c r="H119" s="650">
        <v>1854016517.4002552</v>
      </c>
      <c r="I119" s="650">
        <v>1899483763.6787047</v>
      </c>
      <c r="J119" s="650">
        <v>1946677846.6634121</v>
      </c>
      <c r="K119" s="650">
        <v>2036197802.8086495</v>
      </c>
      <c r="L119" s="650">
        <v>2120978142.1763573</v>
      </c>
      <c r="M119" s="650">
        <v>2177045227.377604</v>
      </c>
      <c r="N119" s="650">
        <v>2199145064.8416452</v>
      </c>
      <c r="O119" s="650">
        <v>2229199373.8104467</v>
      </c>
      <c r="P119" s="650">
        <v>2208826373.0526628</v>
      </c>
      <c r="Q119" s="650">
        <v>2257765662.9156241</v>
      </c>
      <c r="R119" s="650">
        <v>2305565976.3175154</v>
      </c>
      <c r="S119" s="650">
        <v>2331174598.6313853</v>
      </c>
      <c r="T119" s="650">
        <v>2383328745.0642381</v>
      </c>
      <c r="U119" s="650">
        <v>2466823142.9095817</v>
      </c>
      <c r="V119" s="650">
        <v>2548241661.5674291</v>
      </c>
      <c r="W119" s="650">
        <v>2647883820.1862526</v>
      </c>
      <c r="X119" s="650">
        <v>2705812352.2723279</v>
      </c>
      <c r="Y119" s="650">
        <v>2733587430.4500546</v>
      </c>
      <c r="Z119" s="650">
        <v>2763316163.8442426</v>
      </c>
      <c r="AA119" s="650">
        <v>2831583508.7037845</v>
      </c>
      <c r="AB119" s="650">
        <v>2885253732.8375664</v>
      </c>
      <c r="AC119" s="650">
        <v>3030940182.6207123</v>
      </c>
      <c r="AD119" s="650">
        <v>3472925286.4341359</v>
      </c>
      <c r="AE119" s="650">
        <v>3820217815.0775499</v>
      </c>
      <c r="AF119" s="650">
        <v>3719800903.4015417</v>
      </c>
      <c r="AG119" s="650"/>
    </row>
    <row r="120" spans="1:33">
      <c r="A120" s="22">
        <v>341</v>
      </c>
      <c r="B120" s="22" t="s">
        <v>193</v>
      </c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>
        <v>1004514317.8527657</v>
      </c>
      <c r="U120" s="652">
        <v>1053735519.4275509</v>
      </c>
      <c r="V120" s="652">
        <v>954684380.6013552</v>
      </c>
      <c r="W120" s="652">
        <v>984279596.39999986</v>
      </c>
      <c r="X120" s="652">
        <v>995106671.96039975</v>
      </c>
      <c r="Y120" s="652">
        <v>1014013698.7276474</v>
      </c>
      <c r="Z120" s="652">
        <v>1039364041.1958338</v>
      </c>
      <c r="AA120" s="652">
        <v>1085096059.0084562</v>
      </c>
      <c r="AB120" s="652">
        <v>1130670093.4868076</v>
      </c>
      <c r="AC120" s="652">
        <v>1227907721.5266764</v>
      </c>
      <c r="AD120" s="652">
        <v>1359293847.7300308</v>
      </c>
      <c r="AE120" s="652">
        <v>1453085123.2234027</v>
      </c>
      <c r="AF120" s="652">
        <v>1370259271.1996686</v>
      </c>
      <c r="AG120" s="652">
        <v>1385332123.1828649</v>
      </c>
    </row>
    <row r="121" spans="1:33">
      <c r="A121" s="22">
        <v>712</v>
      </c>
      <c r="B121" s="22" t="s">
        <v>155</v>
      </c>
      <c r="C121" s="651"/>
      <c r="D121" s="651">
        <v>739932438.06975496</v>
      </c>
      <c r="E121" s="651">
        <v>801658609.18708467</v>
      </c>
      <c r="F121" s="651">
        <v>848427676.71730089</v>
      </c>
      <c r="G121" s="651">
        <v>898768449.54846072</v>
      </c>
      <c r="H121" s="651">
        <v>950113942.98411739</v>
      </c>
      <c r="I121" s="651">
        <v>1039187072.9652857</v>
      </c>
      <c r="J121" s="651">
        <v>1075128900.7959824</v>
      </c>
      <c r="K121" s="651">
        <v>1130046187.4038968</v>
      </c>
      <c r="L121" s="651">
        <v>1177261729.0806448</v>
      </c>
      <c r="M121" s="651">
        <v>1139772298.0985153</v>
      </c>
      <c r="N121" s="651">
        <v>1040685683.5531133</v>
      </c>
      <c r="O121" s="651">
        <v>944354970.160972</v>
      </c>
      <c r="P121" s="651">
        <v>914430329.69536841</v>
      </c>
      <c r="Q121" s="651">
        <v>933947772.37826502</v>
      </c>
      <c r="R121" s="651">
        <v>993500269.23882854</v>
      </c>
      <c r="S121" s="651">
        <v>1015705932.5865237</v>
      </c>
      <c r="T121" s="651">
        <v>1055285083.632964</v>
      </c>
      <c r="U121" s="651">
        <v>1090530936.4034812</v>
      </c>
      <c r="V121" s="651">
        <v>1124014260.3155322</v>
      </c>
      <c r="W121" s="651">
        <v>1136896162.1421821</v>
      </c>
      <c r="X121" s="651">
        <v>1170465415.0059843</v>
      </c>
      <c r="Y121" s="651">
        <v>1225863291.056926</v>
      </c>
      <c r="Z121" s="651">
        <v>1311730534.9808469</v>
      </c>
      <c r="AA121" s="651">
        <v>1451107229.3902643</v>
      </c>
      <c r="AB121" s="651">
        <v>1556365693.0225055</v>
      </c>
      <c r="AC121" s="651">
        <v>1689531996.1799238</v>
      </c>
      <c r="AD121" s="651">
        <v>1862675511.5340419</v>
      </c>
      <c r="AE121" s="651">
        <v>2028460485.7537291</v>
      </c>
      <c r="AF121" s="651">
        <v>2002727457.4926231</v>
      </c>
      <c r="AG121" s="651">
        <v>2125694923.3826699</v>
      </c>
    </row>
    <row r="122" spans="1:33">
      <c r="A122" s="22">
        <v>600</v>
      </c>
      <c r="B122" s="22" t="s">
        <v>128</v>
      </c>
      <c r="C122" s="653">
        <v>20086262400.770912</v>
      </c>
      <c r="D122" s="653">
        <v>19531009680.794952</v>
      </c>
      <c r="E122" s="653">
        <v>21409694693.058716</v>
      </c>
      <c r="F122" s="653">
        <v>21290326609.17345</v>
      </c>
      <c r="G122" s="653">
        <v>22213551848.471401</v>
      </c>
      <c r="H122" s="653">
        <v>23618587123.383476</v>
      </c>
      <c r="I122" s="653">
        <v>25578766675.76968</v>
      </c>
      <c r="J122" s="653">
        <v>24927867669.182953</v>
      </c>
      <c r="K122" s="653">
        <v>27524008273.52932</v>
      </c>
      <c r="L122" s="653">
        <v>28175395271.374268</v>
      </c>
      <c r="M122" s="653">
        <v>29312116686.142689</v>
      </c>
      <c r="N122" s="653">
        <v>31334081353.944412</v>
      </c>
      <c r="O122" s="653">
        <v>30071024424.548386</v>
      </c>
      <c r="P122" s="653">
        <v>29766626321.922047</v>
      </c>
      <c r="Q122" s="653">
        <v>32849863533.846565</v>
      </c>
      <c r="R122" s="653">
        <v>30688523140.572632</v>
      </c>
      <c r="S122" s="653">
        <v>34437705756.212273</v>
      </c>
      <c r="T122" s="653">
        <v>33670529277.042328</v>
      </c>
      <c r="U122" s="653">
        <v>36248368734.471321</v>
      </c>
      <c r="V122" s="653">
        <v>36440273804.582405</v>
      </c>
      <c r="W122" s="653">
        <v>37020609824.957649</v>
      </c>
      <c r="X122" s="653">
        <v>39816388504.851166</v>
      </c>
      <c r="Y122" s="653">
        <v>41136714247.664574</v>
      </c>
      <c r="Z122" s="653">
        <v>43735306931.684738</v>
      </c>
      <c r="AA122" s="653">
        <v>45835417944.644859</v>
      </c>
      <c r="AB122" s="653">
        <v>47200631556.437569</v>
      </c>
      <c r="AC122" s="653">
        <v>50863330781.555267</v>
      </c>
      <c r="AD122" s="653">
        <v>52239577756.101295</v>
      </c>
      <c r="AE122" s="653">
        <v>55158232262.213371</v>
      </c>
      <c r="AF122" s="653">
        <v>57887810765.586998</v>
      </c>
      <c r="AG122" s="653">
        <v>59797619846.613861</v>
      </c>
    </row>
    <row r="123" spans="1:33">
      <c r="A123" s="22">
        <v>983</v>
      </c>
      <c r="B123" s="22" t="s">
        <v>187</v>
      </c>
      <c r="C123" s="644"/>
      <c r="D123" s="644"/>
      <c r="E123" s="644">
        <v>64007971.692594595</v>
      </c>
      <c r="F123" s="644">
        <v>74466232.599499434</v>
      </c>
      <c r="G123" s="644">
        <v>76470803.751288205</v>
      </c>
      <c r="H123" s="644">
        <v>74493552.138195023</v>
      </c>
      <c r="I123" s="644">
        <v>91211402.348726481</v>
      </c>
      <c r="J123" s="644">
        <v>103221754.54777443</v>
      </c>
      <c r="K123" s="644">
        <v>112961170.09275161</v>
      </c>
      <c r="L123" s="644">
        <v>113910524.0624233</v>
      </c>
      <c r="M123" s="644">
        <v>121930516.14074689</v>
      </c>
      <c r="N123" s="644">
        <v>123311860.31604257</v>
      </c>
      <c r="O123" s="644">
        <v>123357962.03759138</v>
      </c>
      <c r="P123" s="644">
        <v>128367682.44589484</v>
      </c>
      <c r="Q123" s="644">
        <v>131980691.43838638</v>
      </c>
      <c r="R123" s="644">
        <v>135591992.95970944</v>
      </c>
      <c r="S123" s="644">
        <v>114088101.06394461</v>
      </c>
      <c r="T123" s="644">
        <v>103373719.48176864</v>
      </c>
      <c r="U123" s="644">
        <v>105977613.01369189</v>
      </c>
      <c r="V123" s="644">
        <v>106613478.69177404</v>
      </c>
      <c r="W123" s="644">
        <v>107573000</v>
      </c>
      <c r="X123" s="644">
        <v>110504999.99999999</v>
      </c>
      <c r="Y123" s="644">
        <v>114720999.99999997</v>
      </c>
      <c r="Z123" s="644">
        <v>118677999.99999996</v>
      </c>
      <c r="AA123" s="644">
        <v>123425119.99999996</v>
      </c>
      <c r="AB123" s="644">
        <v>124289095.83999994</v>
      </c>
      <c r="AC123" s="644">
        <v>127272034.14015995</v>
      </c>
      <c r="AD123" s="644">
        <v>131472011.26678522</v>
      </c>
      <c r="AE123" s="644">
        <v>128842571.04144952</v>
      </c>
      <c r="AF123" s="644">
        <v>128842571.04144952</v>
      </c>
      <c r="AG123" s="644">
        <v>129486783.89665675</v>
      </c>
    </row>
    <row r="124" spans="1:33">
      <c r="A124" s="22">
        <v>775</v>
      </c>
      <c r="B124" s="22" t="s">
        <v>164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</row>
    <row r="125" spans="1:33">
      <c r="A125" s="22">
        <v>541</v>
      </c>
      <c r="B125" s="22" t="s">
        <v>115</v>
      </c>
      <c r="C125" s="654">
        <v>2462152426.5806556</v>
      </c>
      <c r="D125" s="654">
        <v>2585260119.6241908</v>
      </c>
      <c r="E125" s="654">
        <v>2406877184.565588</v>
      </c>
      <c r="F125" s="654">
        <v>2028997418.1097896</v>
      </c>
      <c r="G125" s="654">
        <v>1897112587.3669455</v>
      </c>
      <c r="H125" s="654">
        <v>1916083654.4347224</v>
      </c>
      <c r="I125" s="654">
        <v>1872013803.1012285</v>
      </c>
      <c r="J125" s="654">
        <v>2147199839.328557</v>
      </c>
      <c r="K125" s="654">
        <v>2323270125.179482</v>
      </c>
      <c r="L125" s="654">
        <v>2474282790.8878994</v>
      </c>
      <c r="M125" s="654">
        <v>2499025440.9448156</v>
      </c>
      <c r="N125" s="654">
        <v>2621477663.4550433</v>
      </c>
      <c r="O125" s="654">
        <v>2487658528.1216955</v>
      </c>
      <c r="P125" s="654">
        <v>2702957512.838068</v>
      </c>
      <c r="Q125" s="654">
        <v>2885825834.3897738</v>
      </c>
      <c r="R125" s="654">
        <v>2963765703.3172641</v>
      </c>
      <c r="S125" s="654">
        <v>3183084365.3627434</v>
      </c>
      <c r="T125" s="654">
        <v>3508986383.3940587</v>
      </c>
      <c r="U125" s="654">
        <v>3887330273.7541237</v>
      </c>
      <c r="V125" s="654">
        <v>4202894942.168817</v>
      </c>
      <c r="W125" s="654">
        <v>4248747769.4626884</v>
      </c>
      <c r="X125" s="654">
        <v>4754303084.3978643</v>
      </c>
      <c r="Y125" s="654">
        <v>5173488004.6499825</v>
      </c>
      <c r="Z125" s="654">
        <v>5485124961.335537</v>
      </c>
      <c r="AA125" s="654">
        <v>5917558733.1090364</v>
      </c>
      <c r="AB125" s="654">
        <v>6413908141.9793434</v>
      </c>
      <c r="AC125" s="654">
        <v>6970805082.0939856</v>
      </c>
      <c r="AD125" s="654">
        <v>7478397322.5593824</v>
      </c>
      <c r="AE125" s="654">
        <v>7989247121.2335949</v>
      </c>
      <c r="AF125" s="654">
        <v>8504258927.8427553</v>
      </c>
      <c r="AG125" s="654">
        <v>9116571405.1791496</v>
      </c>
    </row>
    <row r="126" spans="1:33">
      <c r="A126" s="22">
        <v>565</v>
      </c>
      <c r="B126" s="22" t="s">
        <v>120</v>
      </c>
      <c r="C126" s="655">
        <v>2292422011.9959226</v>
      </c>
      <c r="D126" s="655">
        <v>2312871046.8548346</v>
      </c>
      <c r="E126" s="655">
        <v>2304350615.6636214</v>
      </c>
      <c r="F126" s="655">
        <v>2263452545.9457979</v>
      </c>
      <c r="G126" s="655">
        <v>2257914265.6715093</v>
      </c>
      <c r="H126" s="655">
        <v>2270268890.8987684</v>
      </c>
      <c r="I126" s="655">
        <v>2377200302.3484945</v>
      </c>
      <c r="J126" s="655">
        <v>2460700528.0223842</v>
      </c>
      <c r="K126" s="655">
        <v>2482001606.0004172</v>
      </c>
      <c r="L126" s="655">
        <v>2527585912.8734078</v>
      </c>
      <c r="M126" s="655">
        <v>2590637103.688386</v>
      </c>
      <c r="N126" s="655">
        <v>2802369818.7900352</v>
      </c>
      <c r="O126" s="655">
        <v>3003878016.4622288</v>
      </c>
      <c r="P126" s="655">
        <v>2943541614.9779568</v>
      </c>
      <c r="Q126" s="655">
        <v>3158897455.9612188</v>
      </c>
      <c r="R126" s="655">
        <v>3288835715.7852545</v>
      </c>
      <c r="S126" s="655">
        <v>3393925224.7266064</v>
      </c>
      <c r="T126" s="655">
        <v>3537064383.4570684</v>
      </c>
      <c r="U126" s="655">
        <v>3653542903.2196503</v>
      </c>
      <c r="V126" s="655">
        <v>3776751293.0129585</v>
      </c>
      <c r="W126" s="655">
        <v>3908501440.9221902</v>
      </c>
      <c r="X126" s="655">
        <v>3954636211.9715681</v>
      </c>
      <c r="Y126" s="655">
        <v>4143947858.6914296</v>
      </c>
      <c r="Z126" s="655">
        <v>4319623612.4902925</v>
      </c>
      <c r="AA126" s="655">
        <v>4849718949.7941074</v>
      </c>
      <c r="AB126" s="655">
        <v>4972328353.6420851</v>
      </c>
      <c r="AC126" s="655">
        <v>5324020758.5628366</v>
      </c>
      <c r="AD126" s="655">
        <v>5610147245.0217876</v>
      </c>
      <c r="AE126" s="655">
        <v>5851383576.557724</v>
      </c>
      <c r="AF126" s="655">
        <v>5810423891.5218201</v>
      </c>
      <c r="AG126" s="655">
        <v>6089324238.314868</v>
      </c>
    </row>
    <row r="127" spans="1:33">
      <c r="A127" s="22">
        <v>790</v>
      </c>
      <c r="B127" s="22" t="s">
        <v>167</v>
      </c>
      <c r="C127" s="656">
        <v>2126201925.6063712</v>
      </c>
      <c r="D127" s="656">
        <v>2303569140.4495888</v>
      </c>
      <c r="E127" s="656">
        <v>2390629647.8388519</v>
      </c>
      <c r="F127" s="656">
        <v>2319450900.6433635</v>
      </c>
      <c r="G127" s="656">
        <v>2543999958.4517131</v>
      </c>
      <c r="H127" s="656">
        <v>2700326345.7855511</v>
      </c>
      <c r="I127" s="656">
        <v>2823613809.6200304</v>
      </c>
      <c r="J127" s="656">
        <v>2871491521.2598882</v>
      </c>
      <c r="K127" s="656">
        <v>3092504730.4933915</v>
      </c>
      <c r="L127" s="656">
        <v>3226399298.605526</v>
      </c>
      <c r="M127" s="656">
        <v>3375944078.746685</v>
      </c>
      <c r="N127" s="656">
        <v>3590929275.134182</v>
      </c>
      <c r="O127" s="656">
        <v>3738387432.3051062</v>
      </c>
      <c r="P127" s="656">
        <v>3882309740.9011827</v>
      </c>
      <c r="Q127" s="656">
        <v>4201280414.3417807</v>
      </c>
      <c r="R127" s="656">
        <v>4346999804.9774504</v>
      </c>
      <c r="S127" s="656">
        <v>4578620307.6801348</v>
      </c>
      <c r="T127" s="656">
        <v>4809777105.6726952</v>
      </c>
      <c r="U127" s="656">
        <v>4954858716.8500671</v>
      </c>
      <c r="V127" s="656">
        <v>5173495487.6695194</v>
      </c>
      <c r="W127" s="656">
        <v>5494252207.9050245</v>
      </c>
      <c r="X127" s="656">
        <v>5757976313.8844633</v>
      </c>
      <c r="Y127" s="656">
        <v>5764875155.0895863</v>
      </c>
      <c r="Z127" s="656">
        <v>5992315212.9673786</v>
      </c>
      <c r="AA127" s="656">
        <v>6272911559.6014719</v>
      </c>
      <c r="AB127" s="656">
        <v>6491157509.6350069</v>
      </c>
      <c r="AC127" s="656">
        <v>6709559955.1212111</v>
      </c>
      <c r="AD127" s="656">
        <v>6938460637.2239065</v>
      </c>
      <c r="AE127" s="656">
        <v>7362028621.1581268</v>
      </c>
      <c r="AF127" s="656">
        <v>7686782768.0200987</v>
      </c>
      <c r="AG127" s="656">
        <v>8036784847.9125404</v>
      </c>
    </row>
    <row r="128" spans="1:33">
      <c r="A128" s="22">
        <v>920</v>
      </c>
      <c r="B128" s="22" t="s">
        <v>179</v>
      </c>
      <c r="C128" s="658">
        <v>31797241325.253578</v>
      </c>
      <c r="D128" s="658">
        <v>32831606907.302494</v>
      </c>
      <c r="E128" s="658">
        <v>34249629982.874443</v>
      </c>
      <c r="F128" s="658">
        <v>35187690765.380043</v>
      </c>
      <c r="G128" s="658">
        <v>36923259386.115128</v>
      </c>
      <c r="H128" s="658">
        <v>37208009247.793427</v>
      </c>
      <c r="I128" s="658">
        <v>37987297259.91304</v>
      </c>
      <c r="J128" s="658">
        <v>38595526491.898285</v>
      </c>
      <c r="K128" s="658">
        <v>38537578171.51889</v>
      </c>
      <c r="L128" s="658">
        <v>38746711548.763878</v>
      </c>
      <c r="M128" s="658">
        <v>38760568559.258766</v>
      </c>
      <c r="N128" s="658">
        <v>38258905690.949806</v>
      </c>
      <c r="O128" s="658">
        <v>38687815724.761772</v>
      </c>
      <c r="P128" s="658">
        <v>41153569200.368851</v>
      </c>
      <c r="Q128" s="658">
        <v>43329525661.968109</v>
      </c>
      <c r="R128" s="658">
        <v>45168699556.492332</v>
      </c>
      <c r="S128" s="658">
        <v>46711553901.550079</v>
      </c>
      <c r="T128" s="658">
        <v>47504235498.177666</v>
      </c>
      <c r="U128" s="658">
        <v>47748988802.529312</v>
      </c>
      <c r="V128" s="658">
        <v>50265173934.044708</v>
      </c>
      <c r="W128" s="658">
        <v>51599748517.981827</v>
      </c>
      <c r="X128" s="658">
        <v>53392102615.452423</v>
      </c>
      <c r="Y128" s="658">
        <v>56001605132.325302</v>
      </c>
      <c r="Z128" s="658">
        <v>58176325249.44593</v>
      </c>
      <c r="AA128" s="658">
        <v>60253140312.597298</v>
      </c>
      <c r="AB128" s="658">
        <v>62211205860.445229</v>
      </c>
      <c r="AC128" s="658">
        <v>63595884866.005493</v>
      </c>
      <c r="AD128" s="658">
        <v>65414816035.068504</v>
      </c>
      <c r="AE128" s="658">
        <v>64717281542.988312</v>
      </c>
      <c r="AF128" s="658">
        <v>65225404765.527893</v>
      </c>
      <c r="AG128" s="658">
        <v>66856387828.316551</v>
      </c>
    </row>
    <row r="129" spans="1:33">
      <c r="A129" s="22">
        <v>93</v>
      </c>
      <c r="B129" s="22" t="s">
        <v>20</v>
      </c>
      <c r="C129" s="659">
        <v>3233459067.6140618</v>
      </c>
      <c r="D129" s="659">
        <v>3406878860.5792084</v>
      </c>
      <c r="E129" s="659">
        <v>3379066398.9373751</v>
      </c>
      <c r="F129" s="659">
        <v>3534949882.9410973</v>
      </c>
      <c r="G129" s="659">
        <v>3479589248.001708</v>
      </c>
      <c r="H129" s="659">
        <v>3337557582.5127273</v>
      </c>
      <c r="I129" s="659">
        <v>3303604303.4597573</v>
      </c>
      <c r="J129" s="659">
        <v>3280269197.2974367</v>
      </c>
      <c r="K129" s="659">
        <v>2871881519.8970399</v>
      </c>
      <c r="L129" s="659">
        <v>2823128093.5645704</v>
      </c>
      <c r="M129" s="659">
        <v>2820500756.4949956</v>
      </c>
      <c r="N129" s="659">
        <v>2815121711.3703032</v>
      </c>
      <c r="O129" s="659">
        <v>2825973079.8588438</v>
      </c>
      <c r="P129" s="659">
        <v>2814919608.5187974</v>
      </c>
      <c r="Q129" s="659">
        <v>2908866341.7225962</v>
      </c>
      <c r="R129" s="659">
        <v>3080833197.6915889</v>
      </c>
      <c r="S129" s="659">
        <v>3276286557.2043571</v>
      </c>
      <c r="T129" s="659">
        <v>3406249571.6142802</v>
      </c>
      <c r="U129" s="659">
        <v>3532675435.7226243</v>
      </c>
      <c r="V129" s="659">
        <v>3781225302.9683409</v>
      </c>
      <c r="W129" s="659">
        <v>3936327817.1788812</v>
      </c>
      <c r="X129" s="659">
        <v>4052872049.3103113</v>
      </c>
      <c r="Y129" s="659">
        <v>4083427038.1669831</v>
      </c>
      <c r="Z129" s="659">
        <v>4186354768.1510277</v>
      </c>
      <c r="AA129" s="659">
        <v>4408746005.9777937</v>
      </c>
      <c r="AB129" s="659">
        <v>4597552924.8683968</v>
      </c>
      <c r="AC129" s="659">
        <v>4788441988.5973206</v>
      </c>
      <c r="AD129" s="659">
        <v>4962901911.5184507</v>
      </c>
      <c r="AE129" s="659">
        <v>5099838294.0786142</v>
      </c>
      <c r="AF129" s="659">
        <v>5024909302.722291</v>
      </c>
      <c r="AG129" s="659">
        <v>5250043844.4303179</v>
      </c>
    </row>
    <row r="130" spans="1:33">
      <c r="A130" s="22">
        <v>475</v>
      </c>
      <c r="B130" s="22" t="s">
        <v>99</v>
      </c>
      <c r="C130" s="661">
        <v>31451841856.690483</v>
      </c>
      <c r="D130" s="661">
        <v>27322881647.46793</v>
      </c>
      <c r="E130" s="661">
        <v>27258756122.888824</v>
      </c>
      <c r="F130" s="661">
        <v>25815545521.518257</v>
      </c>
      <c r="G130" s="661">
        <v>24571664864.0201</v>
      </c>
      <c r="H130" s="661">
        <v>26956284522.012733</v>
      </c>
      <c r="I130" s="661">
        <v>27633851811.842468</v>
      </c>
      <c r="J130" s="661">
        <v>27440316343.082684</v>
      </c>
      <c r="K130" s="661">
        <v>30156766275.855129</v>
      </c>
      <c r="L130" s="661">
        <v>32328149249.705181</v>
      </c>
      <c r="M130" s="661">
        <v>34977769569.512688</v>
      </c>
      <c r="N130" s="661">
        <v>36641170225.160866</v>
      </c>
      <c r="O130" s="661">
        <v>37710444032.600258</v>
      </c>
      <c r="P130" s="661">
        <v>38539878941.802544</v>
      </c>
      <c r="Q130" s="661">
        <v>38578418820.744308</v>
      </c>
      <c r="R130" s="661">
        <v>39542879291.262932</v>
      </c>
      <c r="S130" s="661">
        <v>41243223100.787247</v>
      </c>
      <c r="T130" s="661">
        <v>42356790124.508499</v>
      </c>
      <c r="U130" s="661">
        <v>43152860003.853477</v>
      </c>
      <c r="V130" s="661">
        <v>43627704282.050697</v>
      </c>
      <c r="W130" s="661">
        <v>45983600313.281418</v>
      </c>
      <c r="X130" s="661">
        <v>47409091922.993172</v>
      </c>
      <c r="Y130" s="661">
        <v>48143422147.87088</v>
      </c>
      <c r="Z130" s="661">
        <v>53102194629.101593</v>
      </c>
      <c r="AA130" s="661">
        <v>58731027259.786316</v>
      </c>
      <c r="AB130" s="661">
        <v>61902502731.814835</v>
      </c>
      <c r="AC130" s="661">
        <v>65740457901.187317</v>
      </c>
      <c r="AD130" s="661">
        <v>69980604432.414261</v>
      </c>
      <c r="AE130" s="661">
        <v>74179440698.359116</v>
      </c>
      <c r="AF130" s="661">
        <v>79372001547.244263</v>
      </c>
      <c r="AG130" s="661">
        <v>85602703668.702957</v>
      </c>
    </row>
    <row r="131" spans="1:33">
      <c r="A131" s="22">
        <v>436</v>
      </c>
      <c r="B131" s="22" t="s">
        <v>90</v>
      </c>
      <c r="C131" s="660">
        <v>1523445073.1354091</v>
      </c>
      <c r="D131" s="660">
        <v>1532721562.2963693</v>
      </c>
      <c r="E131" s="660">
        <v>1557599199.778286</v>
      </c>
      <c r="F131" s="660">
        <v>1483598545.9959145</v>
      </c>
      <c r="G131" s="660">
        <v>1233977823.9975736</v>
      </c>
      <c r="H131" s="660">
        <v>1329272302.9343472</v>
      </c>
      <c r="I131" s="660">
        <v>1413814377.7096782</v>
      </c>
      <c r="J131" s="660">
        <v>1414868464.5416086</v>
      </c>
      <c r="K131" s="660">
        <v>1512481962.1423116</v>
      </c>
      <c r="L131" s="660">
        <v>1526607471.799614</v>
      </c>
      <c r="M131" s="660">
        <v>1507000406.6457629</v>
      </c>
      <c r="N131" s="660">
        <v>1544738760.1213968</v>
      </c>
      <c r="O131" s="660">
        <v>1444076714.6297894</v>
      </c>
      <c r="P131" s="660">
        <v>1465007709.5285027</v>
      </c>
      <c r="Q131" s="660">
        <v>1523674847.2082229</v>
      </c>
      <c r="R131" s="660">
        <v>1563378093.7021921</v>
      </c>
      <c r="S131" s="660">
        <v>1616831446.272083</v>
      </c>
      <c r="T131" s="660">
        <v>1661358428.4425957</v>
      </c>
      <c r="U131" s="660">
        <v>1834509565.2652287</v>
      </c>
      <c r="V131" s="660">
        <v>1824075639.2985168</v>
      </c>
      <c r="W131" s="660">
        <v>1798365122.6158037</v>
      </c>
      <c r="X131" s="660">
        <v>1926127106.3633175</v>
      </c>
      <c r="Y131" s="660">
        <v>1983894008.8197596</v>
      </c>
      <c r="Z131" s="660">
        <v>2089040391.2872066</v>
      </c>
      <c r="AA131" s="660">
        <v>2091129431.6784937</v>
      </c>
      <c r="AB131" s="660">
        <v>2185230256.1040258</v>
      </c>
      <c r="AC131" s="660">
        <v>2311973610.9580593</v>
      </c>
      <c r="AD131" s="660">
        <v>2390580713.7306333</v>
      </c>
      <c r="AE131" s="660">
        <v>2598561235.8251982</v>
      </c>
      <c r="AF131" s="660">
        <v>2567378500.995296</v>
      </c>
      <c r="AG131" s="660">
        <v>2793453328.5120878</v>
      </c>
    </row>
    <row r="132" spans="1:33">
      <c r="A132" s="22">
        <v>385</v>
      </c>
      <c r="B132" s="22" t="s">
        <v>78</v>
      </c>
      <c r="C132" s="662">
        <v>91232443545.638397</v>
      </c>
      <c r="D132" s="662">
        <v>92644358801.608765</v>
      </c>
      <c r="E132" s="662">
        <v>92760182292.258408</v>
      </c>
      <c r="F132" s="662">
        <v>96347137812.720123</v>
      </c>
      <c r="G132" s="662">
        <v>102025913369.99249</v>
      </c>
      <c r="H132" s="662">
        <v>107488375889.02271</v>
      </c>
      <c r="I132" s="662">
        <v>111828333034.15211</v>
      </c>
      <c r="J132" s="662">
        <v>113818919198.34581</v>
      </c>
      <c r="K132" s="662">
        <v>113622108545.97925</v>
      </c>
      <c r="L132" s="662">
        <v>114755481719.64825</v>
      </c>
      <c r="M132" s="662">
        <v>116967442568.56552</v>
      </c>
      <c r="N132" s="662">
        <v>120598911245.42706</v>
      </c>
      <c r="O132" s="662">
        <v>124847757844.98625</v>
      </c>
      <c r="P132" s="662">
        <v>128326780090.43605</v>
      </c>
      <c r="Q132" s="662">
        <v>134809025426.61729</v>
      </c>
      <c r="R132" s="662">
        <v>140452666840.87347</v>
      </c>
      <c r="S132" s="662">
        <v>147615412415.64227</v>
      </c>
      <c r="T132" s="662">
        <v>155575672703.3107</v>
      </c>
      <c r="U132" s="662">
        <v>159749487150.35562</v>
      </c>
      <c r="V132" s="662">
        <v>162985696902.90622</v>
      </c>
      <c r="W132" s="662">
        <v>168288418278.07947</v>
      </c>
      <c r="X132" s="662">
        <v>171637622986.20737</v>
      </c>
      <c r="Y132" s="662">
        <v>174215812447.45395</v>
      </c>
      <c r="Z132" s="662">
        <v>175981599672.79422</v>
      </c>
      <c r="AA132" s="662">
        <v>182781689654.38892</v>
      </c>
      <c r="AB132" s="662">
        <v>187788450771.43317</v>
      </c>
      <c r="AC132" s="662">
        <v>192071687154.90018</v>
      </c>
      <c r="AD132" s="662">
        <v>197317241132.4957</v>
      </c>
      <c r="AE132" s="662">
        <v>198799573496.33038</v>
      </c>
      <c r="AF132" s="662">
        <v>195960706787.24814</v>
      </c>
      <c r="AG132" s="662">
        <v>196836975505.01044</v>
      </c>
    </row>
    <row r="133" spans="1:33">
      <c r="A133" s="22">
        <v>210</v>
      </c>
      <c r="B133" s="22" t="s">
        <v>37</v>
      </c>
      <c r="C133" s="657">
        <v>226172839506.17294</v>
      </c>
      <c r="D133" s="657">
        <v>224400221116.63913</v>
      </c>
      <c r="E133" s="657">
        <v>221615994103.5564</v>
      </c>
      <c r="F133" s="657">
        <v>226203243044.03915</v>
      </c>
      <c r="G133" s="657">
        <v>233128800442.2334</v>
      </c>
      <c r="H133" s="657">
        <v>239144094343.09943</v>
      </c>
      <c r="I133" s="657">
        <v>245808918371.10754</v>
      </c>
      <c r="J133" s="657">
        <v>250555555555.55566</v>
      </c>
      <c r="K133" s="657">
        <v>259178183158.28281</v>
      </c>
      <c r="L133" s="657">
        <v>270633867698.54443</v>
      </c>
      <c r="M133" s="657">
        <v>281955039616.73126</v>
      </c>
      <c r="N133" s="657">
        <v>288832688409.80292</v>
      </c>
      <c r="O133" s="657">
        <v>293759904182.78979</v>
      </c>
      <c r="P133" s="657">
        <v>297454394693.20074</v>
      </c>
      <c r="Q133" s="657">
        <v>306262207481.11304</v>
      </c>
      <c r="R133" s="657">
        <v>315806154413.11969</v>
      </c>
      <c r="S133" s="657">
        <v>326563478901.78741</v>
      </c>
      <c r="T133" s="657">
        <v>340535286530.31146</v>
      </c>
      <c r="U133" s="657">
        <v>353896259443.52319</v>
      </c>
      <c r="V133" s="657">
        <v>370474479454.57904</v>
      </c>
      <c r="W133" s="657">
        <v>385074626865.67169</v>
      </c>
      <c r="X133" s="657">
        <v>392490326147.04266</v>
      </c>
      <c r="Y133" s="657">
        <v>392789754929.05853</v>
      </c>
      <c r="Z133" s="657">
        <v>394108162889.25751</v>
      </c>
      <c r="AA133" s="657">
        <v>402922424912.47479</v>
      </c>
      <c r="AB133" s="657">
        <v>411168232909.52655</v>
      </c>
      <c r="AC133" s="657">
        <v>425124378109.45288</v>
      </c>
      <c r="AD133" s="657">
        <v>441791966095.44879</v>
      </c>
      <c r="AE133" s="657">
        <v>450104109084.20868</v>
      </c>
      <c r="AF133" s="657">
        <v>432482034273.0791</v>
      </c>
      <c r="AG133" s="657">
        <v>440122535470.79425</v>
      </c>
    </row>
    <row r="134" spans="1:33">
      <c r="A134" s="22">
        <v>698</v>
      </c>
      <c r="B134" s="22" t="s">
        <v>147</v>
      </c>
      <c r="C134" s="663">
        <v>5358105187.8110437</v>
      </c>
      <c r="D134" s="663">
        <v>6271505603.5651188</v>
      </c>
      <c r="E134" s="663">
        <v>6997108649.5908813</v>
      </c>
      <c r="F134" s="663">
        <v>8163293642.8518715</v>
      </c>
      <c r="G134" s="663">
        <v>9527510186.0036488</v>
      </c>
      <c r="H134" s="663">
        <v>10862047279.190481</v>
      </c>
      <c r="I134" s="663">
        <v>11079522788.908676</v>
      </c>
      <c r="J134" s="663">
        <v>10698300396.59087</v>
      </c>
      <c r="K134" s="663">
        <v>11336349949.453211</v>
      </c>
      <c r="L134" s="663">
        <v>12669148915.444128</v>
      </c>
      <c r="M134" s="663">
        <v>12652625161.444464</v>
      </c>
      <c r="N134" s="663">
        <v>13421155506.911966</v>
      </c>
      <c r="O134" s="663">
        <v>14550395886.432627</v>
      </c>
      <c r="P134" s="663">
        <v>15429670540.598619</v>
      </c>
      <c r="Q134" s="663">
        <v>16027689807.586367</v>
      </c>
      <c r="R134" s="663">
        <v>16828564522.576424</v>
      </c>
      <c r="S134" s="663">
        <v>17341152465.708778</v>
      </c>
      <c r="T134" s="663">
        <v>18387433053.088875</v>
      </c>
      <c r="U134" s="663">
        <v>18873291187.362278</v>
      </c>
      <c r="V134" s="663">
        <v>18849736048.6861</v>
      </c>
      <c r="W134" s="663">
        <v>19867880550.271351</v>
      </c>
      <c r="X134" s="663">
        <v>21354315271.508385</v>
      </c>
      <c r="Y134" s="663">
        <v>21902763276.505966</v>
      </c>
      <c r="Z134" s="663">
        <v>21968471566.335484</v>
      </c>
      <c r="AA134" s="663">
        <v>22715399599.590889</v>
      </c>
      <c r="AB134" s="663">
        <v>23622652659.598553</v>
      </c>
      <c r="AC134" s="663">
        <v>24921898555.876472</v>
      </c>
      <c r="AD134" s="663">
        <v>26616587657.676075</v>
      </c>
      <c r="AE134" s="663">
        <v>30023510877.858608</v>
      </c>
      <c r="AF134" s="663"/>
      <c r="AG134" s="663"/>
    </row>
    <row r="135" spans="1:33">
      <c r="A135" s="22">
        <v>770</v>
      </c>
      <c r="B135" s="22" t="s">
        <v>162</v>
      </c>
      <c r="C135" s="664">
        <v>27321293468.698341</v>
      </c>
      <c r="D135" s="664">
        <v>29485348529.23399</v>
      </c>
      <c r="E135" s="664">
        <v>31412949297.83128</v>
      </c>
      <c r="F135" s="664">
        <v>33542237848.2808</v>
      </c>
      <c r="G135" s="664">
        <v>35241221159.264633</v>
      </c>
      <c r="H135" s="664">
        <v>37916775091.556923</v>
      </c>
      <c r="I135" s="664">
        <v>40002824737.79863</v>
      </c>
      <c r="J135" s="664">
        <v>42583944208.70018</v>
      </c>
      <c r="K135" s="664">
        <v>45831088670.5849</v>
      </c>
      <c r="L135" s="664">
        <v>48104204750.34832</v>
      </c>
      <c r="M135" s="664">
        <v>50248972481.203804</v>
      </c>
      <c r="N135" s="664">
        <v>52792358268.539566</v>
      </c>
      <c r="O135" s="664">
        <v>56860483455.342499</v>
      </c>
      <c r="P135" s="664">
        <v>57859947293.800972</v>
      </c>
      <c r="Q135" s="664">
        <v>60022413963.585526</v>
      </c>
      <c r="R135" s="664">
        <v>63001091770.164207</v>
      </c>
      <c r="S135" s="664">
        <v>66054490892.34346</v>
      </c>
      <c r="T135" s="664">
        <v>66724545016.069275</v>
      </c>
      <c r="U135" s="664">
        <v>68426177245.809555</v>
      </c>
      <c r="V135" s="664">
        <v>70930666164.449402</v>
      </c>
      <c r="W135" s="664">
        <v>73952374969.799469</v>
      </c>
      <c r="X135" s="664">
        <v>75418468995.403351</v>
      </c>
      <c r="Y135" s="664">
        <v>77850284714.506042</v>
      </c>
      <c r="Z135" s="664">
        <v>81623159361.237183</v>
      </c>
      <c r="AA135" s="664">
        <v>87637620103.593826</v>
      </c>
      <c r="AB135" s="664">
        <v>94357063094.14267</v>
      </c>
      <c r="AC135" s="664">
        <v>100186010330.49095</v>
      </c>
      <c r="AD135" s="664">
        <v>105879697771.56454</v>
      </c>
      <c r="AE135" s="664">
        <v>107569517451.68465</v>
      </c>
      <c r="AF135" s="664">
        <v>111476956073.08032</v>
      </c>
      <c r="AG135" s="664">
        <v>116334731021.15021</v>
      </c>
    </row>
    <row r="136" spans="1:33">
      <c r="A136" s="22">
        <v>986</v>
      </c>
      <c r="B136" s="22" t="s">
        <v>188</v>
      </c>
      <c r="C136" s="665"/>
      <c r="D136" s="665"/>
      <c r="E136" s="665"/>
      <c r="F136" s="665"/>
      <c r="G136" s="665"/>
      <c r="H136" s="665"/>
      <c r="I136" s="665"/>
      <c r="J136" s="665"/>
      <c r="K136" s="665"/>
      <c r="L136" s="665"/>
      <c r="M136" s="665"/>
      <c r="N136" s="665">
        <v>112264251.42646252</v>
      </c>
      <c r="O136" s="665">
        <v>105079339.33516891</v>
      </c>
      <c r="P136" s="665">
        <v>92154580.59694314</v>
      </c>
      <c r="Q136" s="665">
        <v>98881864.98051998</v>
      </c>
      <c r="R136" s="665">
        <v>109659988.26339668</v>
      </c>
      <c r="S136" s="665">
        <v>121064627.04278995</v>
      </c>
      <c r="T136" s="665">
        <v>123849111.27242644</v>
      </c>
      <c r="U136" s="665">
        <v>126326095.70864576</v>
      </c>
      <c r="V136" s="665">
        <v>119504486.54037888</v>
      </c>
      <c r="W136" s="665">
        <v>119863000</v>
      </c>
      <c r="X136" s="665">
        <v>121421218.99999999</v>
      </c>
      <c r="Y136" s="665">
        <v>117171476.33499999</v>
      </c>
      <c r="Z136" s="665">
        <v>115648247.14264499</v>
      </c>
      <c r="AA136" s="665">
        <v>121315011.25263458</v>
      </c>
      <c r="AB136" s="665">
        <v>127987336.87152947</v>
      </c>
      <c r="AC136" s="665">
        <v>131826956.97767536</v>
      </c>
      <c r="AD136" s="665">
        <v>134595323.07420653</v>
      </c>
      <c r="AE136" s="665">
        <v>128000152.24357042</v>
      </c>
      <c r="AF136" s="665">
        <v>125312149.04645544</v>
      </c>
      <c r="AG136" s="665">
        <v>126565270.53692</v>
      </c>
    </row>
    <row r="137" spans="1:33">
      <c r="A137" s="22">
        <v>95</v>
      </c>
      <c r="B137" s="22" t="s">
        <v>22</v>
      </c>
      <c r="C137" s="666">
        <v>6191729852.3639574</v>
      </c>
      <c r="D137" s="666">
        <v>6761790601.5385027</v>
      </c>
      <c r="E137" s="666">
        <v>7123442044.5632133</v>
      </c>
      <c r="F137" s="666">
        <v>6803502363.6732254</v>
      </c>
      <c r="G137" s="666">
        <v>6987841441.4944191</v>
      </c>
      <c r="H137" s="666">
        <v>7333196891.4270697</v>
      </c>
      <c r="I137" s="666">
        <v>7594829808.0427141</v>
      </c>
      <c r="J137" s="666">
        <v>7457435150.6885557</v>
      </c>
      <c r="K137" s="666">
        <v>6459641958.9783773</v>
      </c>
      <c r="L137" s="666">
        <v>6560557512.5301266</v>
      </c>
      <c r="M137" s="666">
        <v>7091896590.045557</v>
      </c>
      <c r="N137" s="666">
        <v>7759882802.2962437</v>
      </c>
      <c r="O137" s="666">
        <v>8396323560.0292721</v>
      </c>
      <c r="P137" s="666">
        <v>8854405420.8923206</v>
      </c>
      <c r="Q137" s="666">
        <v>9106769057.0335827</v>
      </c>
      <c r="R137" s="666">
        <v>9266290383.9072361</v>
      </c>
      <c r="S137" s="666">
        <v>9526727264.3326378</v>
      </c>
      <c r="T137" s="666">
        <v>10142248212.542543</v>
      </c>
      <c r="U137" s="666">
        <v>10886841542.885788</v>
      </c>
      <c r="V137" s="666">
        <v>11313301598.818035</v>
      </c>
      <c r="W137" s="666">
        <v>11620500000</v>
      </c>
      <c r="X137" s="666">
        <v>11687233385.220167</v>
      </c>
      <c r="Y137" s="666">
        <v>11947728636.255707</v>
      </c>
      <c r="Z137" s="666">
        <v>12450221829.406645</v>
      </c>
      <c r="AA137" s="666">
        <v>13386737514.180937</v>
      </c>
      <c r="AB137" s="666">
        <v>14349415138.643381</v>
      </c>
      <c r="AC137" s="666">
        <v>15573098989.525898</v>
      </c>
      <c r="AD137" s="666">
        <v>17459415719.072376</v>
      </c>
      <c r="AE137" s="666">
        <v>19225857623.407124</v>
      </c>
      <c r="AF137" s="666">
        <v>19840254425.771053</v>
      </c>
      <c r="AG137" s="666">
        <v>21320856699.997368</v>
      </c>
    </row>
    <row r="138" spans="1:33">
      <c r="A138" s="22">
        <v>150</v>
      </c>
      <c r="B138" s="22" t="s">
        <v>31</v>
      </c>
      <c r="C138" s="668">
        <v>4509372595.789217</v>
      </c>
      <c r="D138" s="668">
        <v>4894303894.2553921</v>
      </c>
      <c r="E138" s="668">
        <v>4712404602.9441519</v>
      </c>
      <c r="F138" s="668">
        <v>4569856275.9969864</v>
      </c>
      <c r="G138" s="668">
        <v>4710487179.2070799</v>
      </c>
      <c r="H138" s="668">
        <v>4897781397.9568205</v>
      </c>
      <c r="I138" s="668">
        <v>4897781397.9568205</v>
      </c>
      <c r="J138" s="668">
        <v>5110005895.6213837</v>
      </c>
      <c r="K138" s="668">
        <v>5434734613.1429682</v>
      </c>
      <c r="L138" s="668">
        <v>5749875374.1274433</v>
      </c>
      <c r="M138" s="668">
        <v>5927581217.4141941</v>
      </c>
      <c r="N138" s="668">
        <v>6073964810.7613792</v>
      </c>
      <c r="O138" s="668">
        <v>6281869444.1406384</v>
      </c>
      <c r="P138" s="668">
        <v>6527603718.8607273</v>
      </c>
      <c r="Q138" s="668">
        <v>6770891592.8818407</v>
      </c>
      <c r="R138" s="668">
        <v>7140058290.0974302</v>
      </c>
      <c r="S138" s="668">
        <v>7168801118.7514153</v>
      </c>
      <c r="T138" s="668">
        <v>7383288950.2254353</v>
      </c>
      <c r="U138" s="668">
        <v>7426066465.5743399</v>
      </c>
      <c r="V138" s="668">
        <v>7316030415.9286776</v>
      </c>
      <c r="W138" s="668">
        <v>7071265939.0775585</v>
      </c>
      <c r="X138" s="668">
        <v>7217236773.8758554</v>
      </c>
      <c r="Y138" s="668">
        <v>7213731473.6601191</v>
      </c>
      <c r="Z138" s="668">
        <v>7490710349.4366369</v>
      </c>
      <c r="AA138" s="668">
        <v>7800472022.8664246</v>
      </c>
      <c r="AB138" s="668">
        <v>8024827474.6713715</v>
      </c>
      <c r="AC138" s="668">
        <v>8371707752.3362617</v>
      </c>
      <c r="AD138" s="668">
        <v>8937744399.2013264</v>
      </c>
      <c r="AE138" s="668">
        <v>9458532784.8121223</v>
      </c>
      <c r="AF138" s="668">
        <v>9094701457.0266438</v>
      </c>
      <c r="AG138" s="668">
        <v>10483452830.085955</v>
      </c>
    </row>
    <row r="139" spans="1:33">
      <c r="A139" s="22">
        <v>135</v>
      </c>
      <c r="B139" s="22" t="s">
        <v>28</v>
      </c>
      <c r="C139" s="669">
        <v>39092384025.816902</v>
      </c>
      <c r="D139" s="669">
        <v>41899446418.716911</v>
      </c>
      <c r="E139" s="669">
        <v>41648049740.204613</v>
      </c>
      <c r="F139" s="669">
        <v>36733579870.860466</v>
      </c>
      <c r="G139" s="669">
        <v>38643726024.14521</v>
      </c>
      <c r="H139" s="669">
        <v>39725750352.821274</v>
      </c>
      <c r="I139" s="669">
        <v>43698325388.103409</v>
      </c>
      <c r="J139" s="669">
        <v>47194191419.151688</v>
      </c>
      <c r="K139" s="669">
        <v>43088296765.685493</v>
      </c>
      <c r="L139" s="669">
        <v>38046966044.100288</v>
      </c>
      <c r="M139" s="669">
        <v>36090118316.659264</v>
      </c>
      <c r="N139" s="669">
        <v>36871793988.54435</v>
      </c>
      <c r="O139" s="669">
        <v>36713699865.891937</v>
      </c>
      <c r="P139" s="669">
        <v>38463105665.489296</v>
      </c>
      <c r="Q139" s="669">
        <v>43394706495.338753</v>
      </c>
      <c r="R139" s="669">
        <v>47130518411.539734</v>
      </c>
      <c r="S139" s="669">
        <v>48317368875.58316</v>
      </c>
      <c r="T139" s="669">
        <v>51633902574.437599</v>
      </c>
      <c r="U139" s="669">
        <v>51294176778.68058</v>
      </c>
      <c r="V139" s="669">
        <v>51763072745.782486</v>
      </c>
      <c r="W139" s="669">
        <v>53290390318.024948</v>
      </c>
      <c r="X139" s="669">
        <v>53404908563.408051</v>
      </c>
      <c r="Y139" s="669">
        <v>56085932802.145912</v>
      </c>
      <c r="Z139" s="669">
        <v>58347474126.217972</v>
      </c>
      <c r="AA139" s="669">
        <v>61251271117.754478</v>
      </c>
      <c r="AB139" s="669">
        <v>65432704695.75975</v>
      </c>
      <c r="AC139" s="669">
        <v>70497520780.10704</v>
      </c>
      <c r="AD139" s="669">
        <v>76775759558.470627</v>
      </c>
      <c r="AE139" s="669">
        <v>84302372401.808044</v>
      </c>
      <c r="AF139" s="669">
        <v>85028801756.207275</v>
      </c>
      <c r="AG139" s="669">
        <v>92506872283.181137</v>
      </c>
    </row>
    <row r="140" spans="1:33">
      <c r="A140" s="22">
        <v>840</v>
      </c>
      <c r="B140" s="22" t="s">
        <v>175</v>
      </c>
      <c r="C140" s="670">
        <v>51694932893.345177</v>
      </c>
      <c r="D140" s="670">
        <v>53464589597.560043</v>
      </c>
      <c r="E140" s="670">
        <v>55399648248.211769</v>
      </c>
      <c r="F140" s="670">
        <v>56438179177.915337</v>
      </c>
      <c r="G140" s="670">
        <v>52304826077.695168</v>
      </c>
      <c r="H140" s="670">
        <v>48483117034.421158</v>
      </c>
      <c r="I140" s="670">
        <v>50139679839.842186</v>
      </c>
      <c r="J140" s="670">
        <v>52301519734.327126</v>
      </c>
      <c r="K140" s="670">
        <v>55833203119.599846</v>
      </c>
      <c r="L140" s="670">
        <v>59297827079.125992</v>
      </c>
      <c r="M140" s="670">
        <v>61098682100.249504</v>
      </c>
      <c r="N140" s="670">
        <v>60745327250.045052</v>
      </c>
      <c r="O140" s="670">
        <v>60950405316.898354</v>
      </c>
      <c r="P140" s="670">
        <v>62240303120.607704</v>
      </c>
      <c r="Q140" s="670">
        <v>64971173186.535141</v>
      </c>
      <c r="R140" s="670">
        <v>68010974412.286217</v>
      </c>
      <c r="S140" s="670">
        <v>71986809923.331741</v>
      </c>
      <c r="T140" s="670">
        <v>75719586807.809097</v>
      </c>
      <c r="U140" s="670">
        <v>75282895149.123123</v>
      </c>
      <c r="V140" s="670">
        <v>77603058843.26442</v>
      </c>
      <c r="W140" s="670">
        <v>81026294681.243866</v>
      </c>
      <c r="X140" s="670">
        <v>83371189499.755112</v>
      </c>
      <c r="Y140" s="670">
        <v>86410818146.852905</v>
      </c>
      <c r="Z140" s="670">
        <v>90705750112.11734</v>
      </c>
      <c r="AA140" s="670">
        <v>96780891472.246521</v>
      </c>
      <c r="AB140" s="670">
        <v>101404756761.12502</v>
      </c>
      <c r="AC140" s="670">
        <v>106721360538.83351</v>
      </c>
      <c r="AD140" s="670">
        <v>113782759189.14296</v>
      </c>
      <c r="AE140" s="670">
        <v>118507880851.95915</v>
      </c>
      <c r="AF140" s="670">
        <v>119868742884.67714</v>
      </c>
      <c r="AG140" s="670">
        <v>129017441693.53575</v>
      </c>
    </row>
    <row r="141" spans="1:33">
      <c r="A141" s="22">
        <v>910</v>
      </c>
      <c r="B141" s="22" t="s">
        <v>178</v>
      </c>
      <c r="C141" s="667">
        <v>2079605041.3570197</v>
      </c>
      <c r="D141" s="667">
        <v>2073889669.0386136</v>
      </c>
      <c r="E141" s="667">
        <v>2081209365.4004967</v>
      </c>
      <c r="F141" s="667">
        <v>2148290132.3818965</v>
      </c>
      <c r="G141" s="667">
        <v>2140669593.1753809</v>
      </c>
      <c r="H141" s="667">
        <v>2226300453.1689262</v>
      </c>
      <c r="I141" s="667">
        <v>2330781992.3274021</v>
      </c>
      <c r="J141" s="667">
        <v>2395356163.4232736</v>
      </c>
      <c r="K141" s="667">
        <v>2465042866.0349736</v>
      </c>
      <c r="L141" s="667">
        <v>2430049606.6905007</v>
      </c>
      <c r="M141" s="667">
        <v>2356852386.3798261</v>
      </c>
      <c r="N141" s="667">
        <v>2581858705.1315475</v>
      </c>
      <c r="O141" s="667">
        <v>2939422490.4944386</v>
      </c>
      <c r="P141" s="667">
        <v>3474464558.9940076</v>
      </c>
      <c r="Q141" s="667">
        <v>3680921041.4254308</v>
      </c>
      <c r="R141" s="667">
        <v>3558992414.121181</v>
      </c>
      <c r="S141" s="667">
        <v>3834234097.3977938</v>
      </c>
      <c r="T141" s="667">
        <v>3684530642.17733</v>
      </c>
      <c r="U141" s="667">
        <v>3545656502.5962596</v>
      </c>
      <c r="V141" s="667">
        <v>3611448068.2295489</v>
      </c>
      <c r="W141" s="667">
        <v>3521348154.7966666</v>
      </c>
      <c r="X141" s="667">
        <v>3517077155.3701963</v>
      </c>
      <c r="Y141" s="667">
        <v>3511488507.1844959</v>
      </c>
      <c r="Z141" s="667">
        <v>3587480704.514205</v>
      </c>
      <c r="AA141" s="667">
        <v>3685102349.0313544</v>
      </c>
      <c r="AB141" s="667">
        <v>3817622469.9678559</v>
      </c>
      <c r="AC141" s="667">
        <v>3916288942.3542328</v>
      </c>
      <c r="AD141" s="667">
        <v>4198261746.2037377</v>
      </c>
      <c r="AE141" s="667">
        <v>4479545283.1993885</v>
      </c>
      <c r="AF141" s="667">
        <v>4725920273.7753534</v>
      </c>
      <c r="AG141" s="667">
        <v>5103993895.6773825</v>
      </c>
    </row>
    <row r="142" spans="1:33">
      <c r="A142" s="22">
        <v>290</v>
      </c>
      <c r="B142" s="22" t="s">
        <v>48</v>
      </c>
      <c r="C142" s="671"/>
      <c r="D142" s="671"/>
      <c r="E142" s="671"/>
      <c r="F142" s="671"/>
      <c r="G142" s="671"/>
      <c r="H142" s="671"/>
      <c r="I142" s="671"/>
      <c r="J142" s="671"/>
      <c r="K142" s="671"/>
      <c r="L142" s="671"/>
      <c r="M142" s="671">
        <v>118040699720.90297</v>
      </c>
      <c r="N142" s="671">
        <v>109777850740.43968</v>
      </c>
      <c r="O142" s="671">
        <v>112632074859.69124</v>
      </c>
      <c r="P142" s="671">
        <v>116912093704.35931</v>
      </c>
      <c r="Q142" s="671">
        <v>122991522576.98611</v>
      </c>
      <c r="R142" s="671">
        <v>131600929157.37512</v>
      </c>
      <c r="S142" s="671">
        <v>139811638216.00839</v>
      </c>
      <c r="T142" s="671">
        <v>149719286376.93405</v>
      </c>
      <c r="U142" s="671">
        <v>157177779331.05499</v>
      </c>
      <c r="V142" s="671">
        <v>164288893911.03522</v>
      </c>
      <c r="W142" s="671">
        <v>171276118424.23154</v>
      </c>
      <c r="X142" s="671">
        <v>173340489223.59732</v>
      </c>
      <c r="Y142" s="671">
        <v>175842569475.44778</v>
      </c>
      <c r="Z142" s="671">
        <v>182642504560.12503</v>
      </c>
      <c r="AA142" s="671">
        <v>192404226786.97791</v>
      </c>
      <c r="AB142" s="671">
        <v>199363586523.11334</v>
      </c>
      <c r="AC142" s="671">
        <v>211778943587.87509</v>
      </c>
      <c r="AD142" s="671">
        <v>226148618304.14279</v>
      </c>
      <c r="AE142" s="671">
        <v>237742337291.68246</v>
      </c>
      <c r="AF142" s="671">
        <v>241665172915.75848</v>
      </c>
      <c r="AG142" s="671">
        <v>250889124542.90573</v>
      </c>
    </row>
    <row r="143" spans="1:33">
      <c r="A143" s="22">
        <v>235</v>
      </c>
      <c r="B143" s="22" t="s">
        <v>46</v>
      </c>
      <c r="C143" s="672">
        <v>63514318675.142815</v>
      </c>
      <c r="D143" s="672">
        <v>64542046084.39286</v>
      </c>
      <c r="E143" s="672">
        <v>65920260982.126411</v>
      </c>
      <c r="F143" s="672">
        <v>65806144398.378479</v>
      </c>
      <c r="G143" s="672">
        <v>64569002312.511513</v>
      </c>
      <c r="H143" s="672">
        <v>66381738050.488304</v>
      </c>
      <c r="I143" s="672">
        <v>69130576395.798782</v>
      </c>
      <c r="J143" s="672">
        <v>73542070757.324478</v>
      </c>
      <c r="K143" s="672">
        <v>79049715901.971619</v>
      </c>
      <c r="L143" s="672">
        <v>84141022664.455505</v>
      </c>
      <c r="M143" s="672">
        <v>87465033388.612503</v>
      </c>
      <c r="N143" s="672">
        <v>91285686640.869736</v>
      </c>
      <c r="O143" s="672">
        <v>92280222682.881897</v>
      </c>
      <c r="P143" s="672">
        <v>90394682117.191833</v>
      </c>
      <c r="Q143" s="672">
        <v>91266844564.215958</v>
      </c>
      <c r="R143" s="672">
        <v>95175603095.63295</v>
      </c>
      <c r="S143" s="672">
        <v>98658749677.538239</v>
      </c>
      <c r="T143" s="672">
        <v>102982730145.56845</v>
      </c>
      <c r="U143" s="672">
        <v>108183009765.98488</v>
      </c>
      <c r="V143" s="672">
        <v>112593802929.79547</v>
      </c>
      <c r="W143" s="672">
        <v>117014464713.4697</v>
      </c>
      <c r="X143" s="672">
        <v>119315771604.93828</v>
      </c>
      <c r="Y143" s="672">
        <v>120163467293.16382</v>
      </c>
      <c r="Z143" s="672">
        <v>119044231435.41553</v>
      </c>
      <c r="AA143" s="672">
        <v>120899062096.92282</v>
      </c>
      <c r="AB143" s="672">
        <v>121814372950.06453</v>
      </c>
      <c r="AC143" s="672">
        <v>123567896443.70744</v>
      </c>
      <c r="AD143" s="672">
        <v>126516366408.69731</v>
      </c>
      <c r="AE143" s="672">
        <v>126505726828.81892</v>
      </c>
      <c r="AF143" s="672">
        <v>123352021282.47656</v>
      </c>
      <c r="AG143" s="672">
        <v>124994368988.39143</v>
      </c>
    </row>
    <row r="144" spans="1:33">
      <c r="A144" s="22">
        <v>694</v>
      </c>
      <c r="B144" s="22" t="s">
        <v>145</v>
      </c>
      <c r="C144" s="673"/>
      <c r="D144" s="673"/>
      <c r="E144" s="673"/>
      <c r="F144" s="673"/>
      <c r="G144" s="673"/>
      <c r="H144" s="673"/>
      <c r="I144" s="673"/>
      <c r="J144" s="673"/>
      <c r="K144" s="673"/>
      <c r="L144" s="673"/>
      <c r="M144" s="673"/>
      <c r="N144" s="673"/>
      <c r="O144" s="673"/>
      <c r="P144" s="673"/>
      <c r="Q144" s="673"/>
      <c r="R144" s="673"/>
      <c r="S144" s="673"/>
      <c r="T144" s="673"/>
      <c r="U144" s="673"/>
      <c r="V144" s="673"/>
      <c r="W144" s="673">
        <v>17759889598.053143</v>
      </c>
      <c r="X144" s="673">
        <v>18350889420.233597</v>
      </c>
      <c r="Y144" s="673">
        <v>19659942528.31229</v>
      </c>
      <c r="Z144" s="673">
        <v>20346088722.643394</v>
      </c>
      <c r="AA144" s="673">
        <v>24586857388.318619</v>
      </c>
      <c r="AB144" s="673">
        <v>26455458549.830837</v>
      </c>
      <c r="AC144" s="673">
        <v>31376173840.099373</v>
      </c>
      <c r="AD144" s="673">
        <v>39769300342.325958</v>
      </c>
      <c r="AE144" s="673">
        <v>49902518069.550606</v>
      </c>
      <c r="AF144" s="673">
        <v>54215093681.121162</v>
      </c>
      <c r="AG144" s="673"/>
    </row>
    <row r="145" spans="1:33">
      <c r="A145" s="22">
        <v>732</v>
      </c>
      <c r="B145" s="22" t="s">
        <v>158</v>
      </c>
      <c r="C145" s="624">
        <v>128029123165.73721</v>
      </c>
      <c r="D145" s="624">
        <v>135919578694.83885</v>
      </c>
      <c r="E145" s="624">
        <v>145875767888.21378</v>
      </c>
      <c r="F145" s="624">
        <v>161593723429.36377</v>
      </c>
      <c r="G145" s="624">
        <v>174686535301.84766</v>
      </c>
      <c r="H145" s="624">
        <v>186569642627.01443</v>
      </c>
      <c r="I145" s="624">
        <v>206381181576.49078</v>
      </c>
      <c r="J145" s="624">
        <v>229298003709.03207</v>
      </c>
      <c r="K145" s="624">
        <v>253698105754.36011</v>
      </c>
      <c r="L145" s="624">
        <v>270808733194.7337</v>
      </c>
      <c r="M145" s="624">
        <v>295601777215.46637</v>
      </c>
      <c r="N145" s="624">
        <v>323368202010.91254</v>
      </c>
      <c r="O145" s="624">
        <v>342368324537.80225</v>
      </c>
      <c r="P145" s="624">
        <v>363368459962.25903</v>
      </c>
      <c r="Q145" s="624">
        <v>394387463572.17944</v>
      </c>
      <c r="R145" s="624">
        <v>430548633258.07867</v>
      </c>
      <c r="S145" s="624">
        <v>460681097829.89331</v>
      </c>
      <c r="T145" s="624">
        <v>482107173875.59045</v>
      </c>
      <c r="U145" s="624">
        <v>449061334446.48816</v>
      </c>
      <c r="V145" s="624">
        <v>491660742719.7818</v>
      </c>
      <c r="W145" s="624">
        <v>533384027728.65527</v>
      </c>
      <c r="X145" s="624">
        <v>554577928768.55823</v>
      </c>
      <c r="Y145" s="624">
        <v>594230347811.05579</v>
      </c>
      <c r="Z145" s="624">
        <v>610885292931.51514</v>
      </c>
      <c r="AA145" s="624">
        <v>639102209101.39783</v>
      </c>
      <c r="AB145" s="624">
        <v>664392465835.41113</v>
      </c>
      <c r="AC145" s="624">
        <v>698799258265.58826</v>
      </c>
      <c r="AD145" s="624">
        <v>734478718311.07996</v>
      </c>
      <c r="AE145" s="624">
        <v>751359801124.7395</v>
      </c>
      <c r="AF145" s="624">
        <v>753760392874.3219</v>
      </c>
      <c r="AG145" s="624">
        <v>800205926790.96155</v>
      </c>
    </row>
    <row r="146" spans="1:33">
      <c r="A146" s="22">
        <v>360</v>
      </c>
      <c r="B146" s="22" t="s">
        <v>66</v>
      </c>
      <c r="C146" s="674">
        <v>40945223259.840797</v>
      </c>
      <c r="D146" s="674">
        <v>41258753229.470634</v>
      </c>
      <c r="E146" s="674">
        <v>42909325745.959785</v>
      </c>
      <c r="F146" s="674">
        <v>45526793810.309334</v>
      </c>
      <c r="G146" s="674">
        <v>48212873919.578987</v>
      </c>
      <c r="H146" s="674">
        <v>48165021730.078354</v>
      </c>
      <c r="I146" s="674">
        <v>49321357908.244843</v>
      </c>
      <c r="J146" s="674">
        <v>49716312211.711273</v>
      </c>
      <c r="K146" s="674">
        <v>49468155771.79483</v>
      </c>
      <c r="L146" s="674">
        <v>46599150980.411797</v>
      </c>
      <c r="M146" s="674">
        <v>43989597124.468681</v>
      </c>
      <c r="N146" s="674">
        <v>38314937346.891991</v>
      </c>
      <c r="O146" s="674">
        <v>34927739544.180809</v>
      </c>
      <c r="P146" s="674">
        <v>35455614743.032532</v>
      </c>
      <c r="Q146" s="674">
        <v>36863281939.970459</v>
      </c>
      <c r="R146" s="674">
        <v>39502657934.229065</v>
      </c>
      <c r="S146" s="674">
        <v>41086280750.942848</v>
      </c>
      <c r="T146" s="674">
        <v>38578877726.159241</v>
      </c>
      <c r="U146" s="674">
        <v>36731311750.336838</v>
      </c>
      <c r="V146" s="674">
        <v>36290534541.576546</v>
      </c>
      <c r="W146" s="674">
        <v>37052636395.193802</v>
      </c>
      <c r="X146" s="674">
        <v>39164637562.048927</v>
      </c>
      <c r="Y146" s="674">
        <v>41162034208.365967</v>
      </c>
      <c r="Z146" s="674">
        <v>43302459253.322868</v>
      </c>
      <c r="AA146" s="674">
        <v>46939862239.046928</v>
      </c>
      <c r="AB146" s="674">
        <v>48898332853.401825</v>
      </c>
      <c r="AC146" s="674">
        <v>52761301148.820564</v>
      </c>
      <c r="AD146" s="674">
        <v>55926979217.749802</v>
      </c>
      <c r="AE146" s="674">
        <v>61198545646.643913</v>
      </c>
      <c r="AF146" s="674">
        <v>55996669266.67923</v>
      </c>
      <c r="AG146" s="674">
        <v>56527456853.239487</v>
      </c>
    </row>
    <row r="147" spans="1:33">
      <c r="A147" s="22">
        <v>365</v>
      </c>
      <c r="B147" s="22" t="s">
        <v>67</v>
      </c>
      <c r="C147" s="675"/>
      <c r="D147" s="675"/>
      <c r="E147" s="675"/>
      <c r="F147" s="675"/>
      <c r="G147" s="675"/>
      <c r="H147" s="675"/>
      <c r="I147" s="675"/>
      <c r="J147" s="675"/>
      <c r="K147" s="675"/>
      <c r="L147" s="675">
        <v>397827114198.70593</v>
      </c>
      <c r="M147" s="675">
        <v>385892318110.2666</v>
      </c>
      <c r="N147" s="675">
        <v>366416566464.75995</v>
      </c>
      <c r="O147" s="675">
        <v>313172304874.56836</v>
      </c>
      <c r="P147" s="675">
        <v>286024837286.7063</v>
      </c>
      <c r="Q147" s="675">
        <v>250072213201.15247</v>
      </c>
      <c r="R147" s="675">
        <v>239710400009.98965</v>
      </c>
      <c r="S147" s="675">
        <v>231080825609.62988</v>
      </c>
      <c r="T147" s="675">
        <v>234315957168.16455</v>
      </c>
      <c r="U147" s="675">
        <v>221897211438.25201</v>
      </c>
      <c r="V147" s="675">
        <v>236098632970.30002</v>
      </c>
      <c r="W147" s="675">
        <v>259708496267.33026</v>
      </c>
      <c r="X147" s="675">
        <v>272932811944.54321</v>
      </c>
      <c r="Y147" s="675">
        <v>285879843583.36298</v>
      </c>
      <c r="Z147" s="675">
        <v>306737220531.81445</v>
      </c>
      <c r="AA147" s="675">
        <v>328748527632.25916</v>
      </c>
      <c r="AB147" s="675">
        <v>349710148602.65094</v>
      </c>
      <c r="AC147" s="675">
        <v>378223527671.33887</v>
      </c>
      <c r="AD147" s="675">
        <v>410505209127.68988</v>
      </c>
      <c r="AE147" s="675">
        <v>432048331749.88123</v>
      </c>
      <c r="AF147" s="675">
        <v>398287677636.72369</v>
      </c>
      <c r="AG147" s="675">
        <v>414355712287.47174</v>
      </c>
    </row>
    <row r="148" spans="1:33">
      <c r="A148" s="22">
        <v>517</v>
      </c>
      <c r="B148" s="22" t="s">
        <v>109</v>
      </c>
      <c r="C148" s="676">
        <v>1368419410.4764521</v>
      </c>
      <c r="D148" s="676">
        <v>1442809419.3163993</v>
      </c>
      <c r="E148" s="676">
        <v>1468936482.4200885</v>
      </c>
      <c r="F148" s="676">
        <v>1556784024.3577034</v>
      </c>
      <c r="G148" s="676">
        <v>1490764343.4226463</v>
      </c>
      <c r="H148" s="676">
        <v>1556398945.7425556</v>
      </c>
      <c r="I148" s="676">
        <v>1641567235.906466</v>
      </c>
      <c r="J148" s="676">
        <v>1641172667.0066693</v>
      </c>
      <c r="K148" s="676">
        <v>1715006153.1761844</v>
      </c>
      <c r="L148" s="676">
        <v>1714379588.0788341</v>
      </c>
      <c r="M148" s="676">
        <v>1673246631.3059874</v>
      </c>
      <c r="N148" s="676">
        <v>1631174858.4397943</v>
      </c>
      <c r="O148" s="676">
        <v>1726969275.9074848</v>
      </c>
      <c r="P148" s="676">
        <v>1586934658.68664</v>
      </c>
      <c r="Q148" s="676">
        <v>789530666.43129599</v>
      </c>
      <c r="R148" s="676">
        <v>1067635566.6836054</v>
      </c>
      <c r="S148" s="676">
        <v>1203713147.8270118</v>
      </c>
      <c r="T148" s="676">
        <v>1370424439.4190273</v>
      </c>
      <c r="U148" s="676">
        <v>1491825811.1295507</v>
      </c>
      <c r="V148" s="676">
        <v>1604922564.8408496</v>
      </c>
      <c r="W148" s="676">
        <v>1734921292.5929585</v>
      </c>
      <c r="X148" s="676">
        <v>1882389602.4633598</v>
      </c>
      <c r="Y148" s="676">
        <v>2089452458.7343297</v>
      </c>
      <c r="Z148" s="676">
        <v>2135420412.8264849</v>
      </c>
      <c r="AA148" s="676">
        <v>2293441523.3756452</v>
      </c>
      <c r="AB148" s="676">
        <v>2506731585.0495801</v>
      </c>
      <c r="AC148" s="676">
        <v>2737350890.8741417</v>
      </c>
      <c r="AD148" s="676">
        <v>2887905189.8722191</v>
      </c>
      <c r="AE148" s="676">
        <v>3211350571.137908</v>
      </c>
      <c r="AF148" s="676">
        <v>3343015944.5545611</v>
      </c>
      <c r="AG148" s="676">
        <v>3593742140.3961539</v>
      </c>
    </row>
    <row r="149" spans="1:33">
      <c r="A149" s="22">
        <v>560</v>
      </c>
      <c r="B149" s="22" t="s">
        <v>119</v>
      </c>
      <c r="C149" s="689">
        <v>95502508097.580307</v>
      </c>
      <c r="D149" s="689">
        <v>100622149784.44815</v>
      </c>
      <c r="E149" s="689">
        <v>100236410771.47516</v>
      </c>
      <c r="F149" s="689">
        <v>98385496370.247498</v>
      </c>
      <c r="G149" s="689">
        <v>103402247100.49275</v>
      </c>
      <c r="H149" s="689">
        <v>102149590533.35736</v>
      </c>
      <c r="I149" s="689">
        <v>102167759769.74509</v>
      </c>
      <c r="J149" s="689">
        <v>104314077373.8158</v>
      </c>
      <c r="K149" s="689">
        <v>108695313127.93777</v>
      </c>
      <c r="L149" s="689">
        <v>111298413500.74471</v>
      </c>
      <c r="M149" s="689">
        <v>110944725837.35454</v>
      </c>
      <c r="N149" s="689">
        <v>109814966801.74059</v>
      </c>
      <c r="O149" s="689">
        <v>107468175151.23459</v>
      </c>
      <c r="P149" s="689">
        <v>108793916961.36777</v>
      </c>
      <c r="Q149" s="689">
        <v>112312420210.15823</v>
      </c>
      <c r="R149" s="689">
        <v>115811733478.9437</v>
      </c>
      <c r="S149" s="689">
        <v>120799393016.09627</v>
      </c>
      <c r="T149" s="689">
        <v>123996668248.52634</v>
      </c>
      <c r="U149" s="689">
        <v>124638205611.99162</v>
      </c>
      <c r="V149" s="689">
        <v>127577334783.60962</v>
      </c>
      <c r="W149" s="689">
        <v>132877648090.73737</v>
      </c>
      <c r="X149" s="689">
        <v>136512414037.5369</v>
      </c>
      <c r="Y149" s="689">
        <v>141519467703.41791</v>
      </c>
      <c r="Z149" s="689">
        <v>145692982131.42184</v>
      </c>
      <c r="AA149" s="689">
        <v>152328632238.68527</v>
      </c>
      <c r="AB149" s="689">
        <v>160367192373.54886</v>
      </c>
      <c r="AC149" s="689">
        <v>169353717105.78745</v>
      </c>
      <c r="AD149" s="689">
        <v>178783142493.56714</v>
      </c>
      <c r="AE149" s="689">
        <v>185176570140.44821</v>
      </c>
      <c r="AF149" s="689">
        <v>182061566843.57153</v>
      </c>
      <c r="AG149" s="689">
        <v>187234185124.17661</v>
      </c>
    </row>
    <row r="150" spans="1:33">
      <c r="A150" s="22">
        <v>92</v>
      </c>
      <c r="B150" s="22" t="s">
        <v>19</v>
      </c>
      <c r="C150" s="588">
        <v>8703848679.6382065</v>
      </c>
      <c r="D150" s="588">
        <v>7794215003.0306511</v>
      </c>
      <c r="E150" s="588">
        <v>7302727945.3064451</v>
      </c>
      <c r="F150" s="588">
        <v>7414825706.2032766</v>
      </c>
      <c r="G150" s="588">
        <v>7513958616.7495737</v>
      </c>
      <c r="H150" s="588">
        <v>7560289381.4922771</v>
      </c>
      <c r="I150" s="588">
        <v>7574608193.2688389</v>
      </c>
      <c r="J150" s="588">
        <v>7765002615.5677605</v>
      </c>
      <c r="K150" s="588">
        <v>7910787275.1170807</v>
      </c>
      <c r="L150" s="588">
        <v>7986904251.3078127</v>
      </c>
      <c r="M150" s="588">
        <v>8372810074.9508476</v>
      </c>
      <c r="N150" s="588">
        <v>8672159450.8302307</v>
      </c>
      <c r="O150" s="588">
        <v>9326459853.6243114</v>
      </c>
      <c r="P150" s="588">
        <v>10013804572.345287</v>
      </c>
      <c r="Q150" s="588">
        <v>10619662925.888206</v>
      </c>
      <c r="R150" s="588">
        <v>11298815407.952303</v>
      </c>
      <c r="S150" s="588">
        <v>11491596864.967457</v>
      </c>
      <c r="T150" s="588">
        <v>11979528543.225956</v>
      </c>
      <c r="U150" s="588">
        <v>12428695150.127058</v>
      </c>
      <c r="V150" s="588">
        <v>12857344602.309351</v>
      </c>
      <c r="W150" s="588">
        <v>13134147767.999998</v>
      </c>
      <c r="X150" s="588">
        <v>13358642293.198128</v>
      </c>
      <c r="Y150" s="588">
        <v>13671259606.853466</v>
      </c>
      <c r="Z150" s="588">
        <v>13985703809.827784</v>
      </c>
      <c r="AA150" s="588">
        <v>14244514235.34852</v>
      </c>
      <c r="AB150" s="588">
        <v>14684003637.176189</v>
      </c>
      <c r="AC150" s="588">
        <v>15298416796.953518</v>
      </c>
      <c r="AD150" s="588">
        <v>16003169444.884312</v>
      </c>
      <c r="AE150" s="588">
        <v>16392605887.059381</v>
      </c>
      <c r="AF150" s="588">
        <v>15812200835.756813</v>
      </c>
      <c r="AG150" s="588">
        <v>15963452872.555828</v>
      </c>
    </row>
    <row r="151" spans="1:33">
      <c r="A151" s="22">
        <v>670</v>
      </c>
      <c r="B151" s="22" t="s">
        <v>141</v>
      </c>
      <c r="C151" s="680">
        <v>153723600651.11133</v>
      </c>
      <c r="D151" s="680">
        <v>160934662342.54871</v>
      </c>
      <c r="E151" s="680">
        <v>143073869142.6962</v>
      </c>
      <c r="F151" s="680">
        <v>131318117489.84583</v>
      </c>
      <c r="G151" s="680">
        <v>127262586721.72685</v>
      </c>
      <c r="H151" s="680">
        <v>121759538480.41457</v>
      </c>
      <c r="I151" s="680">
        <v>127957463788.79665</v>
      </c>
      <c r="J151" s="680">
        <v>122859910090.25905</v>
      </c>
      <c r="K151" s="680">
        <v>132963919014.08922</v>
      </c>
      <c r="L151" s="680">
        <v>133046978812.89072</v>
      </c>
      <c r="M151" s="680">
        <v>144127803749.68716</v>
      </c>
      <c r="N151" s="680">
        <v>157248891087.48755</v>
      </c>
      <c r="O151" s="680">
        <v>164527237654.69821</v>
      </c>
      <c r="P151" s="680">
        <v>164570123592.62766</v>
      </c>
      <c r="Q151" s="680">
        <v>165665432008.25342</v>
      </c>
      <c r="R151" s="680">
        <v>165998276055.17722</v>
      </c>
      <c r="S151" s="680">
        <v>171615358356.64816</v>
      </c>
      <c r="T151" s="680">
        <v>176064764661.15558</v>
      </c>
      <c r="U151" s="680">
        <v>181055435207.74707</v>
      </c>
      <c r="V151" s="680">
        <v>179700216155.56161</v>
      </c>
      <c r="W151" s="680">
        <v>188441864874.66666</v>
      </c>
      <c r="X151" s="680">
        <v>189473468746.46182</v>
      </c>
      <c r="Y151" s="680">
        <v>189716092330.6987</v>
      </c>
      <c r="Z151" s="680">
        <v>204246598743.06091</v>
      </c>
      <c r="AA151" s="680">
        <v>215004097758.97842</v>
      </c>
      <c r="AB151" s="680">
        <v>226944734103.35626</v>
      </c>
      <c r="AC151" s="680">
        <v>234111140402.64365</v>
      </c>
      <c r="AD151" s="680">
        <v>238833567253.18152</v>
      </c>
      <c r="AE151" s="680">
        <v>248933106154.37906</v>
      </c>
      <c r="AF151" s="680">
        <v>250436887393.94952</v>
      </c>
      <c r="AG151" s="680"/>
    </row>
    <row r="152" spans="1:33">
      <c r="A152" s="22">
        <v>433</v>
      </c>
      <c r="B152" s="22" t="s">
        <v>87</v>
      </c>
      <c r="C152" s="681">
        <v>2682655747.9017744</v>
      </c>
      <c r="D152" s="681">
        <v>2818653422.5945845</v>
      </c>
      <c r="E152" s="681">
        <v>3039722231.5740733</v>
      </c>
      <c r="F152" s="681">
        <v>2877814688.0393014</v>
      </c>
      <c r="G152" s="681">
        <v>2985610844.8868308</v>
      </c>
      <c r="H152" s="681">
        <v>3083642502.4140601</v>
      </c>
      <c r="I152" s="681">
        <v>3179646769.1989655</v>
      </c>
      <c r="J152" s="681">
        <v>3373426353.9099112</v>
      </c>
      <c r="K152" s="681">
        <v>3353441130.2251434</v>
      </c>
      <c r="L152" s="681">
        <v>3486836192.2896209</v>
      </c>
      <c r="M152" s="681">
        <v>3463277796.826993</v>
      </c>
      <c r="N152" s="681">
        <v>3551793131.4684811</v>
      </c>
      <c r="O152" s="681">
        <v>3595929390.6118846</v>
      </c>
      <c r="P152" s="681">
        <v>3642704535.6672754</v>
      </c>
      <c r="Q152" s="681">
        <v>3642073303.9959874</v>
      </c>
      <c r="R152" s="681">
        <v>3837414918.1387973</v>
      </c>
      <c r="S152" s="681">
        <v>3914628506.4040933</v>
      </c>
      <c r="T152" s="681">
        <v>4036922805.3329034</v>
      </c>
      <c r="U152" s="681">
        <v>4275047661.2591271</v>
      </c>
      <c r="V152" s="681">
        <v>4546389886.4155798</v>
      </c>
      <c r="W152" s="681">
        <v>4691828356.9328022</v>
      </c>
      <c r="X152" s="681">
        <v>4906757092.5168276</v>
      </c>
      <c r="Y152" s="681">
        <v>4938886719.1782913</v>
      </c>
      <c r="Z152" s="681">
        <v>5267878967.8330927</v>
      </c>
      <c r="AA152" s="681">
        <v>5578711667.5951834</v>
      </c>
      <c r="AB152" s="681">
        <v>5892630724.9470606</v>
      </c>
      <c r="AC152" s="681">
        <v>6041595931.7540493</v>
      </c>
      <c r="AD152" s="681">
        <v>6334999295.4446764</v>
      </c>
      <c r="AE152" s="681">
        <v>6545782363.4140291</v>
      </c>
      <c r="AF152" s="681">
        <v>6691219750.3862572</v>
      </c>
      <c r="AG152" s="681">
        <v>6970078284.7685642</v>
      </c>
    </row>
    <row r="153" spans="1:33">
      <c r="A153" s="22">
        <v>591</v>
      </c>
      <c r="B153" s="22" t="s">
        <v>127</v>
      </c>
      <c r="C153" s="683">
        <v>291858536.23294216</v>
      </c>
      <c r="D153" s="683">
        <v>267881834.13207108</v>
      </c>
      <c r="E153" s="683">
        <v>264887789.09815642</v>
      </c>
      <c r="F153" s="683">
        <v>260360208.80296534</v>
      </c>
      <c r="G153" s="683">
        <v>272105407.23146117</v>
      </c>
      <c r="H153" s="683">
        <v>302379135.86073029</v>
      </c>
      <c r="I153" s="683">
        <v>301844520.99509692</v>
      </c>
      <c r="J153" s="683">
        <v>315138082.83931863</v>
      </c>
      <c r="K153" s="683">
        <v>332145280.44892091</v>
      </c>
      <c r="L153" s="683">
        <v>369341648.47986394</v>
      </c>
      <c r="M153" s="683">
        <v>395179106.89357305</v>
      </c>
      <c r="N153" s="683">
        <v>406087733.55777782</v>
      </c>
      <c r="O153" s="683">
        <v>435169568.00523752</v>
      </c>
      <c r="P153" s="683">
        <v>462135505.03938156</v>
      </c>
      <c r="Q153" s="683">
        <v>458444439.55170882</v>
      </c>
      <c r="R153" s="683">
        <v>454659334.17899984</v>
      </c>
      <c r="S153" s="683">
        <v>477017316.84636784</v>
      </c>
      <c r="T153" s="683">
        <v>534076017.09211129</v>
      </c>
      <c r="U153" s="683">
        <v>578956552.22566056</v>
      </c>
      <c r="V153" s="683">
        <v>589794648.97608817</v>
      </c>
      <c r="W153" s="683">
        <v>614879764.78000629</v>
      </c>
      <c r="X153" s="683">
        <v>600914842.38651681</v>
      </c>
      <c r="Y153" s="683">
        <v>608202933.19793427</v>
      </c>
      <c r="Z153" s="683">
        <v>572397248.3405534</v>
      </c>
      <c r="AA153" s="683">
        <v>556081328.91112113</v>
      </c>
      <c r="AB153" s="683">
        <v>597623469.40535581</v>
      </c>
      <c r="AC153" s="683">
        <v>647229508.7619766</v>
      </c>
      <c r="AD153" s="683">
        <v>710001132.02367222</v>
      </c>
      <c r="AE153" s="683">
        <v>700771117.30736446</v>
      </c>
      <c r="AF153" s="683">
        <v>705676515.12851596</v>
      </c>
      <c r="AG153" s="683">
        <v>749428459.06648397</v>
      </c>
    </row>
    <row r="154" spans="1:33">
      <c r="A154" s="22">
        <v>451</v>
      </c>
      <c r="B154" s="22" t="s">
        <v>95</v>
      </c>
      <c r="C154" s="684">
        <v>928741740.00285554</v>
      </c>
      <c r="D154" s="684">
        <v>955502769.79604542</v>
      </c>
      <c r="E154" s="684">
        <v>1001192576.375578</v>
      </c>
      <c r="F154" s="684">
        <v>980139482.68283272</v>
      </c>
      <c r="G154" s="684">
        <v>1020256927.5812727</v>
      </c>
      <c r="H154" s="684">
        <v>966067608.19596159</v>
      </c>
      <c r="I154" s="684">
        <v>978008657.02170026</v>
      </c>
      <c r="J154" s="684">
        <v>1048731091.2182269</v>
      </c>
      <c r="K154" s="684">
        <v>974480929.95997643</v>
      </c>
      <c r="L154" s="684">
        <v>981594640.74868453</v>
      </c>
      <c r="M154" s="684">
        <v>1014478061.2137655</v>
      </c>
      <c r="N154" s="684">
        <v>1038318295.6522888</v>
      </c>
      <c r="O154" s="684">
        <v>840933987.64878857</v>
      </c>
      <c r="P154" s="684">
        <v>852538876.67834175</v>
      </c>
      <c r="Q154" s="684">
        <v>835914368.58311427</v>
      </c>
      <c r="R154" s="684">
        <v>769057937.38383675</v>
      </c>
      <c r="S154" s="684">
        <v>807510834.25302863</v>
      </c>
      <c r="T154" s="684">
        <v>672333654.0719099</v>
      </c>
      <c r="U154" s="684">
        <v>666703294.85034037</v>
      </c>
      <c r="V154" s="684">
        <v>612555159.65190089</v>
      </c>
      <c r="W154" s="684">
        <v>635876870.1304909</v>
      </c>
      <c r="X154" s="684">
        <v>751415299.60196638</v>
      </c>
      <c r="Y154" s="684">
        <v>957766830.81208277</v>
      </c>
      <c r="Z154" s="684">
        <v>1046724724.8850504</v>
      </c>
      <c r="AA154" s="684">
        <v>1125375032.2018528</v>
      </c>
      <c r="AB154" s="684">
        <v>1206157644.07058</v>
      </c>
      <c r="AC154" s="684">
        <v>1293976843.3001542</v>
      </c>
      <c r="AD154" s="684">
        <v>1377335079.3511245</v>
      </c>
      <c r="AE154" s="684">
        <v>1453557724.7471809</v>
      </c>
      <c r="AF154" s="684">
        <v>1500071571.9390907</v>
      </c>
      <c r="AG154" s="684">
        <v>1574302613.6764967</v>
      </c>
    </row>
    <row r="155" spans="1:33">
      <c r="A155" s="22">
        <v>830</v>
      </c>
      <c r="B155" s="22" t="s">
        <v>173</v>
      </c>
      <c r="C155" s="685">
        <v>21828605192.591995</v>
      </c>
      <c r="D155" s="685">
        <v>23953361204.689896</v>
      </c>
      <c r="E155" s="685">
        <v>25660010710.230286</v>
      </c>
      <c r="F155" s="685">
        <v>27844860831.761257</v>
      </c>
      <c r="G155" s="685">
        <v>30165676776.179409</v>
      </c>
      <c r="H155" s="685">
        <v>29730342518.172455</v>
      </c>
      <c r="I155" s="685">
        <v>30361156649.528301</v>
      </c>
      <c r="J155" s="685">
        <v>33345444045.389965</v>
      </c>
      <c r="K155" s="685">
        <v>37171164985.10891</v>
      </c>
      <c r="L155" s="685">
        <v>40892881351.262703</v>
      </c>
      <c r="M155" s="685">
        <v>44662452582.553825</v>
      </c>
      <c r="N155" s="685">
        <v>47589952205.119179</v>
      </c>
      <c r="O155" s="685">
        <v>50606664897.479965</v>
      </c>
      <c r="P155" s="685">
        <v>56544496563.72113</v>
      </c>
      <c r="Q155" s="685">
        <v>63085067507.104225</v>
      </c>
      <c r="R155" s="685">
        <v>68229552518.213982</v>
      </c>
      <c r="S155" s="685">
        <v>73544864896.389755</v>
      </c>
      <c r="T155" s="685">
        <v>79679220542.12825</v>
      </c>
      <c r="U155" s="685">
        <v>78582097003.694733</v>
      </c>
      <c r="V155" s="685">
        <v>84241848399.065079</v>
      </c>
      <c r="W155" s="685">
        <v>92716858006.042297</v>
      </c>
      <c r="X155" s="685">
        <v>90492853903.944412</v>
      </c>
      <c r="Y155" s="685">
        <v>94254710350.916428</v>
      </c>
      <c r="Z155" s="685">
        <v>97536626004.98378</v>
      </c>
      <c r="AA155" s="685">
        <v>106879693862.60378</v>
      </c>
      <c r="AB155" s="685">
        <v>121095257079.66203</v>
      </c>
      <c r="AC155" s="685">
        <v>131634464542.12698</v>
      </c>
      <c r="AD155" s="685">
        <v>143184946815.26392</v>
      </c>
      <c r="AE155" s="685">
        <v>145314111275.54416</v>
      </c>
      <c r="AF155" s="685">
        <v>144195119513.89032</v>
      </c>
      <c r="AG155" s="685">
        <v>165061986931.9646</v>
      </c>
    </row>
    <row r="156" spans="1:33">
      <c r="A156" s="22">
        <v>60</v>
      </c>
      <c r="B156" s="22" t="s">
        <v>14</v>
      </c>
      <c r="C156" s="692">
        <v>128959424.20085897</v>
      </c>
      <c r="D156" s="692">
        <v>130391519.51748286</v>
      </c>
      <c r="E156" s="692">
        <v>128336994.0809129</v>
      </c>
      <c r="F156" s="692">
        <v>127087073.43354152</v>
      </c>
      <c r="G156" s="692">
        <v>140264374.50947297</v>
      </c>
      <c r="H156" s="692">
        <v>149241537.37763825</v>
      </c>
      <c r="I156" s="692">
        <v>166684770.05521789</v>
      </c>
      <c r="J156" s="692">
        <v>181198018.7056677</v>
      </c>
      <c r="K156" s="692">
        <v>197629153.69409612</v>
      </c>
      <c r="L156" s="692">
        <v>212683857.84817228</v>
      </c>
      <c r="M156" s="692">
        <v>217511502.77666768</v>
      </c>
      <c r="N156" s="692">
        <v>218366703.54400665</v>
      </c>
      <c r="O156" s="692">
        <v>225592965.42435613</v>
      </c>
      <c r="P156" s="692">
        <v>240612254.82272959</v>
      </c>
      <c r="Q156" s="692">
        <v>252893871.87148815</v>
      </c>
      <c r="R156" s="692">
        <v>262169590.6842764</v>
      </c>
      <c r="S156" s="692">
        <v>279324388.23219156</v>
      </c>
      <c r="T156" s="692">
        <v>298235122.88544583</v>
      </c>
      <c r="U156" s="692">
        <v>301645821.33314723</v>
      </c>
      <c r="V156" s="692">
        <v>317363455.06030732</v>
      </c>
      <c r="W156" s="692">
        <v>326203986.92653322</v>
      </c>
      <c r="X156" s="692">
        <v>332883724.79912519</v>
      </c>
      <c r="Y156" s="692">
        <v>336294439.44013047</v>
      </c>
      <c r="Z156" s="692">
        <v>337873692.41833204</v>
      </c>
      <c r="AA156" s="692">
        <v>363671243.90279907</v>
      </c>
      <c r="AB156" s="692">
        <v>384079867.26655924</v>
      </c>
      <c r="AC156" s="692">
        <v>405227310.12228787</v>
      </c>
      <c r="AD156" s="692">
        <v>413440351.46108848</v>
      </c>
      <c r="AE156" s="692">
        <v>432599256.59377646</v>
      </c>
      <c r="AF156" s="692">
        <v>384449277.0125435</v>
      </c>
      <c r="AG156" s="692">
        <v>375102704.39839399</v>
      </c>
    </row>
    <row r="157" spans="1:33">
      <c r="A157" s="22">
        <v>317</v>
      </c>
      <c r="B157" s="22" t="s">
        <v>52</v>
      </c>
      <c r="C157" s="686"/>
      <c r="D157" s="686"/>
      <c r="E157" s="686"/>
      <c r="F157" s="686"/>
      <c r="G157" s="686">
        <v>24816556469.60799</v>
      </c>
      <c r="H157" s="686">
        <v>25684733139.688881</v>
      </c>
      <c r="I157" s="686">
        <v>26754930900.806808</v>
      </c>
      <c r="J157" s="686">
        <v>27413073297.250149</v>
      </c>
      <c r="K157" s="686">
        <v>27945309523.177734</v>
      </c>
      <c r="L157" s="686">
        <v>28282965872.334358</v>
      </c>
      <c r="M157" s="686">
        <v>27527532599.852512</v>
      </c>
      <c r="N157" s="686">
        <v>23515724198.281845</v>
      </c>
      <c r="O157" s="686">
        <v>21935117727.393318</v>
      </c>
      <c r="P157" s="686">
        <v>21123518371.479736</v>
      </c>
      <c r="Q157" s="686">
        <v>22434348212.4837</v>
      </c>
      <c r="R157" s="686">
        <v>23745204450.58477</v>
      </c>
      <c r="S157" s="686">
        <v>25651716914.735592</v>
      </c>
      <c r="T157" s="686">
        <v>27122830292.979553</v>
      </c>
      <c r="U157" s="686">
        <v>28304680302.192745</v>
      </c>
      <c r="V157" s="686">
        <v>28312815551.870281</v>
      </c>
      <c r="W157" s="686">
        <v>28700755481.85001</v>
      </c>
      <c r="X157" s="686">
        <v>29700884466.55611</v>
      </c>
      <c r="Y157" s="686">
        <v>31064022480.191639</v>
      </c>
      <c r="Z157" s="686">
        <v>32548544315.459743</v>
      </c>
      <c r="AA157" s="686">
        <v>34185913027.455318</v>
      </c>
      <c r="AB157" s="686">
        <v>36464529205.822739</v>
      </c>
      <c r="AC157" s="686">
        <v>39565229408.512993</v>
      </c>
      <c r="AD157" s="686">
        <v>43750985811.682335</v>
      </c>
      <c r="AE157" s="686">
        <v>46450626497.143913</v>
      </c>
      <c r="AF157" s="686">
        <v>43570687654.320992</v>
      </c>
      <c r="AG157" s="686">
        <v>43788541092.592598</v>
      </c>
    </row>
    <row r="158" spans="1:33">
      <c r="A158" s="22">
        <v>56</v>
      </c>
      <c r="B158" s="22" t="s">
        <v>11</v>
      </c>
      <c r="C158" s="693">
        <v>262497334.53955775</v>
      </c>
      <c r="D158" s="693">
        <v>271711583.18989164</v>
      </c>
      <c r="E158" s="693">
        <v>242307995.32739484</v>
      </c>
      <c r="F158" s="693">
        <v>252608243.13741338</v>
      </c>
      <c r="G158" s="693">
        <v>311976450.6651575</v>
      </c>
      <c r="H158" s="693">
        <v>293857728.95286429</v>
      </c>
      <c r="I158" s="693">
        <v>337575596.41412312</v>
      </c>
      <c r="J158" s="693">
        <v>344107823.47650135</v>
      </c>
      <c r="K158" s="693">
        <v>385978024.33851039</v>
      </c>
      <c r="L158" s="693">
        <v>420962026.53355122</v>
      </c>
      <c r="M158" s="693">
        <v>520077086.36195284</v>
      </c>
      <c r="N158" s="693">
        <v>534004449.081397</v>
      </c>
      <c r="O158" s="693">
        <v>571500734.09144282</v>
      </c>
      <c r="P158" s="693">
        <v>586205220.44151616</v>
      </c>
      <c r="Q158" s="693">
        <v>594536270.36682487</v>
      </c>
      <c r="R158" s="693">
        <v>614083696.58364117</v>
      </c>
      <c r="S158" s="693">
        <v>647350051.95536637</v>
      </c>
      <c r="T158" s="693">
        <v>649963094.85930598</v>
      </c>
      <c r="U158" s="693">
        <v>691256225.79259598</v>
      </c>
      <c r="V158" s="693">
        <v>707560102.03425443</v>
      </c>
      <c r="W158" s="693">
        <v>707525925.49653959</v>
      </c>
      <c r="X158" s="693">
        <v>671300878.95049953</v>
      </c>
      <c r="Y158" s="693">
        <v>692149017.3612082</v>
      </c>
      <c r="Z158" s="693">
        <v>706207103.38124359</v>
      </c>
      <c r="AA158" s="693">
        <v>745948407.9024781</v>
      </c>
      <c r="AB158" s="693">
        <v>778308838.05137348</v>
      </c>
      <c r="AC158" s="693">
        <v>824102265.57962441</v>
      </c>
      <c r="AD158" s="693">
        <v>841846430.70997179</v>
      </c>
      <c r="AE158" s="693">
        <v>848961383.52640617</v>
      </c>
      <c r="AF158" s="693">
        <v>809500548.93368948</v>
      </c>
      <c r="AG158" s="693">
        <v>791562405.50183511</v>
      </c>
    </row>
    <row r="159" spans="1:33">
      <c r="A159" s="22">
        <v>349</v>
      </c>
      <c r="B159" s="22" t="s">
        <v>61</v>
      </c>
      <c r="C159" s="687"/>
      <c r="D159" s="687"/>
      <c r="E159" s="687"/>
      <c r="F159" s="687"/>
      <c r="G159" s="687"/>
      <c r="H159" s="687"/>
      <c r="I159" s="687"/>
      <c r="J159" s="687"/>
      <c r="K159" s="687"/>
      <c r="L159" s="687"/>
      <c r="M159" s="687">
        <v>16618570959.942791</v>
      </c>
      <c r="N159" s="687">
        <v>15139500330.816845</v>
      </c>
      <c r="O159" s="687">
        <v>14312323624.542368</v>
      </c>
      <c r="P159" s="687">
        <v>14719282810.086449</v>
      </c>
      <c r="Q159" s="687">
        <v>15503450770.512632</v>
      </c>
      <c r="R159" s="687">
        <v>16068172517.382395</v>
      </c>
      <c r="S159" s="687">
        <v>16642261857.737072</v>
      </c>
      <c r="T159" s="687">
        <v>17458881868.245598</v>
      </c>
      <c r="U159" s="687">
        <v>18081623889.655437</v>
      </c>
      <c r="V159" s="687">
        <v>19051860359.195751</v>
      </c>
      <c r="W159" s="687">
        <v>19887999963.713669</v>
      </c>
      <c r="X159" s="687">
        <v>20454641387.105881</v>
      </c>
      <c r="Y159" s="687">
        <v>21267444767.507412</v>
      </c>
      <c r="Z159" s="687">
        <v>21870425982.466564</v>
      </c>
      <c r="AA159" s="687">
        <v>22807909253.830582</v>
      </c>
      <c r="AB159" s="687">
        <v>23832548080.734348</v>
      </c>
      <c r="AC159" s="687">
        <v>25217116913.448017</v>
      </c>
      <c r="AD159" s="687">
        <v>26930970685.670555</v>
      </c>
      <c r="AE159" s="687">
        <v>27871540215.101326</v>
      </c>
      <c r="AF159" s="687">
        <v>25697560078.323414</v>
      </c>
      <c r="AG159" s="687">
        <v>26001281942.913044</v>
      </c>
    </row>
    <row r="160" spans="1:33" s="534" customFormat="1">
      <c r="A160" s="22">
        <v>331</v>
      </c>
      <c r="B160" s="22" t="s">
        <v>54</v>
      </c>
      <c r="C160" s="678">
        <v>364399494.97675943</v>
      </c>
      <c r="D160" s="678">
        <v>367475954.54188263</v>
      </c>
      <c r="E160" s="678">
        <v>368995789.29405993</v>
      </c>
      <c r="F160" s="678">
        <v>373310009.25789022</v>
      </c>
      <c r="G160" s="678">
        <v>385352399.64431226</v>
      </c>
      <c r="H160" s="678">
        <v>396135226.9282046</v>
      </c>
      <c r="I160" s="678">
        <v>407464484.67036873</v>
      </c>
      <c r="J160" s="678">
        <v>420470739.31162739</v>
      </c>
      <c r="K160" s="678">
        <v>438106445.40803105</v>
      </c>
      <c r="L160" s="678">
        <v>452951398.18245137</v>
      </c>
      <c r="M160" s="678">
        <v>462250274.61071259</v>
      </c>
      <c r="N160" s="678">
        <v>469336170.91815352</v>
      </c>
      <c r="O160" s="678">
        <v>472965422.68968344</v>
      </c>
      <c r="P160" s="678">
        <v>514357505.10562468</v>
      </c>
      <c r="Q160" s="678">
        <v>550271224.47772622</v>
      </c>
      <c r="R160" s="678">
        <v>601402621.49733436</v>
      </c>
      <c r="S160" s="678">
        <v>630620563.24182737</v>
      </c>
      <c r="T160" s="678">
        <v>645784080.786672</v>
      </c>
      <c r="U160" s="678">
        <v>694347043.66182935</v>
      </c>
      <c r="V160" s="678">
        <v>757375569.94660914</v>
      </c>
      <c r="W160" s="678">
        <v>773907642.41474771</v>
      </c>
      <c r="X160" s="678">
        <v>817304332.64361179</v>
      </c>
      <c r="Y160" s="678">
        <v>819370841.70212901</v>
      </c>
      <c r="Z160" s="678">
        <v>851401732.10914886</v>
      </c>
      <c r="AA160" s="678">
        <v>890665404.22097826</v>
      </c>
      <c r="AB160" s="678">
        <v>911330494.80615163</v>
      </c>
      <c r="AC160" s="678">
        <v>946461148.80094624</v>
      </c>
      <c r="AD160" s="678">
        <v>979525293.7372247</v>
      </c>
      <c r="AE160" s="678">
        <v>998123875.26388073</v>
      </c>
      <c r="AF160" s="678"/>
      <c r="AG160" s="678"/>
    </row>
    <row r="161" spans="1:33">
      <c r="A161" s="22">
        <v>940</v>
      </c>
      <c r="B161" s="22" t="s">
        <v>181</v>
      </c>
      <c r="C161" s="688"/>
      <c r="D161" s="688"/>
      <c r="E161" s="688"/>
      <c r="F161" s="688"/>
      <c r="G161" s="688"/>
      <c r="H161" s="688"/>
      <c r="I161" s="688"/>
      <c r="J161" s="688"/>
      <c r="K161" s="688"/>
      <c r="L161" s="688"/>
      <c r="M161" s="688">
        <v>340865987.83856446</v>
      </c>
      <c r="N161" s="688">
        <v>361332195.73462874</v>
      </c>
      <c r="O161" s="688">
        <v>407186864.05872208</v>
      </c>
      <c r="P161" s="688">
        <v>423378484.22965896</v>
      </c>
      <c r="Q161" s="688">
        <v>462303139.12059128</v>
      </c>
      <c r="R161" s="688">
        <v>500321063.28195119</v>
      </c>
      <c r="S161" s="688">
        <v>508352106.88673592</v>
      </c>
      <c r="T161" s="688">
        <v>501033494.56947243</v>
      </c>
      <c r="U161" s="688">
        <v>509971268.90382957</v>
      </c>
      <c r="V161" s="688">
        <v>507510142.63784719</v>
      </c>
      <c r="W161" s="688">
        <v>435101217.23341721</v>
      </c>
      <c r="X161" s="688">
        <v>400386383.58692843</v>
      </c>
      <c r="Y161" s="688">
        <v>389175564.84649456</v>
      </c>
      <c r="Z161" s="688">
        <v>414471976.56151658</v>
      </c>
      <c r="AA161" s="688">
        <v>434774351.44091225</v>
      </c>
      <c r="AB161" s="688">
        <v>458344309.1574952</v>
      </c>
      <c r="AC161" s="688">
        <v>490183884.10184133</v>
      </c>
      <c r="AD161" s="688">
        <v>542633559.70073843</v>
      </c>
      <c r="AE161" s="688">
        <v>582245809.55889237</v>
      </c>
      <c r="AF161" s="688">
        <v>575258859.84418571</v>
      </c>
      <c r="AG161" s="688">
        <v>615526980.0332787</v>
      </c>
    </row>
    <row r="162" spans="1:33">
      <c r="A162" s="22">
        <v>520</v>
      </c>
      <c r="B162" s="22" t="s">
        <v>110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534"/>
      <c r="O162" s="534"/>
      <c r="P162" s="534"/>
      <c r="Q162" s="534"/>
      <c r="R162" s="534"/>
      <c r="S162" s="534"/>
      <c r="T162" s="534"/>
      <c r="U162" s="534"/>
      <c r="V162" s="534"/>
      <c r="W162" s="534"/>
      <c r="X162" s="534"/>
      <c r="Y162" s="534"/>
      <c r="Z162" s="534"/>
      <c r="AA162" s="534"/>
      <c r="AB162" s="534"/>
      <c r="AC162" s="534"/>
      <c r="AD162" s="534"/>
      <c r="AE162" s="534"/>
      <c r="AF162" s="534"/>
    </row>
    <row r="163" spans="1:33">
      <c r="A163" s="22">
        <v>230</v>
      </c>
      <c r="B163" s="22" t="s">
        <v>44</v>
      </c>
      <c r="C163" s="690">
        <v>329980271604.93842</v>
      </c>
      <c r="D163" s="690">
        <v>329543151280.63403</v>
      </c>
      <c r="E163" s="690">
        <v>333650780541.73596</v>
      </c>
      <c r="F163" s="690">
        <v>339556785608.99231</v>
      </c>
      <c r="G163" s="690">
        <v>345616813156.44025</v>
      </c>
      <c r="H163" s="690">
        <v>353640085774.82983</v>
      </c>
      <c r="I163" s="690">
        <v>365145135526.07361</v>
      </c>
      <c r="J163" s="690">
        <v>385400183895.33838</v>
      </c>
      <c r="K163" s="690">
        <v>405033718813.34094</v>
      </c>
      <c r="L163" s="690">
        <v>424584819145.01587</v>
      </c>
      <c r="M163" s="690">
        <v>440640041735.76581</v>
      </c>
      <c r="N163" s="690">
        <v>451858739727.28961</v>
      </c>
      <c r="O163" s="690">
        <v>456057480836.55804</v>
      </c>
      <c r="P163" s="690">
        <v>451353285424.72833</v>
      </c>
      <c r="Q163" s="690">
        <v>462109915791.41339</v>
      </c>
      <c r="R163" s="690">
        <v>474852569191.08167</v>
      </c>
      <c r="S163" s="690">
        <v>486329814354.15515</v>
      </c>
      <c r="T163" s="690">
        <v>505144426755.11334</v>
      </c>
      <c r="U163" s="690">
        <v>527715091394.8775</v>
      </c>
      <c r="V163" s="690">
        <v>552760119218.72119</v>
      </c>
      <c r="W163" s="690">
        <v>580673484429.70337</v>
      </c>
      <c r="X163" s="690">
        <v>601856458448.49829</v>
      </c>
      <c r="Y163" s="690">
        <v>618131954118.29749</v>
      </c>
      <c r="Z163" s="690">
        <v>637271677814.63062</v>
      </c>
      <c r="AA163" s="690">
        <v>658090293163.81067</v>
      </c>
      <c r="AB163" s="690">
        <v>681875822001.10559</v>
      </c>
      <c r="AC163" s="690">
        <v>709277897457.15869</v>
      </c>
      <c r="AD163" s="690">
        <v>734629427776.01013</v>
      </c>
      <c r="AE163" s="690">
        <v>740946251946.61145</v>
      </c>
      <c r="AF163" s="690">
        <v>713364129981.33044</v>
      </c>
      <c r="AG163" s="690">
        <v>712338669975.1803</v>
      </c>
    </row>
    <row r="164" spans="1:33">
      <c r="A164" s="22">
        <v>780</v>
      </c>
      <c r="B164" s="22" t="s">
        <v>165</v>
      </c>
      <c r="C164" s="691">
        <v>6515044618.6321249</v>
      </c>
      <c r="D164" s="691">
        <v>6886370990.9954433</v>
      </c>
      <c r="E164" s="691">
        <v>7171570535.6827545</v>
      </c>
      <c r="F164" s="691">
        <v>7516808381.9500589</v>
      </c>
      <c r="G164" s="691">
        <v>7900102158.2125988</v>
      </c>
      <c r="H164" s="691">
        <v>8295059639.2301455</v>
      </c>
      <c r="I164" s="691">
        <v>8656355059.7424393</v>
      </c>
      <c r="J164" s="691">
        <v>8805730046.2302761</v>
      </c>
      <c r="K164" s="691">
        <v>9023468716.4912701</v>
      </c>
      <c r="L164" s="691">
        <v>9230944960.5047703</v>
      </c>
      <c r="M164" s="691">
        <v>9821725437.9770756</v>
      </c>
      <c r="N164" s="691">
        <v>10273524808.124022</v>
      </c>
      <c r="O164" s="691">
        <v>10725559899.681479</v>
      </c>
      <c r="P164" s="691">
        <v>11465623532.759501</v>
      </c>
      <c r="Q164" s="691">
        <v>12107698450.594032</v>
      </c>
      <c r="R164" s="691">
        <v>12773621865.376703</v>
      </c>
      <c r="S164" s="691">
        <v>13259019496.261021</v>
      </c>
      <c r="T164" s="691">
        <v>14108314847.408062</v>
      </c>
      <c r="U164" s="691">
        <v>14771179511.717945</v>
      </c>
      <c r="V164" s="691">
        <v>15406424815.014921</v>
      </c>
      <c r="W164" s="691">
        <v>16330810303.915817</v>
      </c>
      <c r="X164" s="691">
        <v>16078438392.660334</v>
      </c>
      <c r="Y164" s="691">
        <v>16715893244.838339</v>
      </c>
      <c r="Z164" s="691">
        <v>17708862282.213173</v>
      </c>
      <c r="AA164" s="691">
        <v>18673120685.282066</v>
      </c>
      <c r="AB164" s="691">
        <v>19838649830.412457</v>
      </c>
      <c r="AC164" s="691">
        <v>21359771931.325699</v>
      </c>
      <c r="AD164" s="691">
        <v>22811733077.215118</v>
      </c>
      <c r="AE164" s="691">
        <v>24169041085.663158</v>
      </c>
      <c r="AF164" s="691">
        <v>25024372772.598354</v>
      </c>
      <c r="AG164" s="691">
        <v>27029192431.759907</v>
      </c>
    </row>
    <row r="165" spans="1:33">
      <c r="A165" s="22">
        <v>403</v>
      </c>
      <c r="B165" s="22" t="s">
        <v>82</v>
      </c>
      <c r="C165" s="679"/>
      <c r="D165" s="679"/>
      <c r="E165" s="679"/>
      <c r="F165" s="679"/>
      <c r="G165" s="679"/>
      <c r="H165" s="679"/>
      <c r="I165" s="679"/>
      <c r="J165" s="679"/>
      <c r="K165" s="679"/>
      <c r="L165" s="679"/>
      <c r="M165" s="679"/>
      <c r="N165" s="679"/>
      <c r="O165" s="679"/>
      <c r="P165" s="679"/>
      <c r="Q165" s="679"/>
      <c r="R165" s="679"/>
      <c r="S165" s="679"/>
      <c r="T165" s="679"/>
      <c r="U165" s="679"/>
      <c r="V165" s="679"/>
      <c r="W165" s="679"/>
      <c r="X165" s="679"/>
      <c r="Y165" s="679"/>
      <c r="Z165" s="679"/>
      <c r="AA165" s="679"/>
      <c r="AB165" s="679"/>
      <c r="AC165" s="679"/>
      <c r="AD165" s="679"/>
      <c r="AE165" s="679"/>
      <c r="AF165" s="679"/>
      <c r="AG165" s="679"/>
    </row>
    <row r="166" spans="1:33">
      <c r="A166" s="22">
        <v>625</v>
      </c>
      <c r="B166" s="22" t="s">
        <v>132</v>
      </c>
      <c r="C166" s="695">
        <v>5525045072.7114353</v>
      </c>
      <c r="D166" s="695">
        <v>5935973821.8817596</v>
      </c>
      <c r="E166" s="695">
        <v>6289678678.704834</v>
      </c>
      <c r="F166" s="695">
        <v>6419403473.4915237</v>
      </c>
      <c r="G166" s="695">
        <v>6097861522.5661488</v>
      </c>
      <c r="H166" s="695">
        <v>5714852210.5591116</v>
      </c>
      <c r="I166" s="695">
        <v>6024243459.3647509</v>
      </c>
      <c r="J166" s="695">
        <v>6880944178.351285</v>
      </c>
      <c r="K166" s="695">
        <v>6858161938.5319738</v>
      </c>
      <c r="L166" s="695">
        <v>7470691384.6580915</v>
      </c>
      <c r="M166" s="695">
        <v>7062040511.0374918</v>
      </c>
      <c r="N166" s="695">
        <v>7592464085.4128742</v>
      </c>
      <c r="O166" s="695">
        <v>8091885904.2185822</v>
      </c>
      <c r="P166" s="695">
        <v>8461583799.3181171</v>
      </c>
      <c r="Q166" s="695">
        <v>8546726693.2883978</v>
      </c>
      <c r="R166" s="695">
        <v>9059281793.0360546</v>
      </c>
      <c r="S166" s="695">
        <v>9595511990.1320724</v>
      </c>
      <c r="T166" s="695">
        <v>10609444484.444187</v>
      </c>
      <c r="U166" s="695">
        <v>11066552696.097534</v>
      </c>
      <c r="V166" s="695">
        <v>11410069395.203751</v>
      </c>
      <c r="W166" s="695">
        <v>12366140065.799974</v>
      </c>
      <c r="X166" s="695">
        <v>13128567103.68063</v>
      </c>
      <c r="Y166" s="695">
        <v>13832329600.44322</v>
      </c>
      <c r="Z166" s="695">
        <v>14820625397.071884</v>
      </c>
      <c r="AA166" s="695">
        <v>15088237416.895428</v>
      </c>
      <c r="AB166" s="695">
        <v>16042683060.564407</v>
      </c>
      <c r="AC166" s="695">
        <v>17854598587.315678</v>
      </c>
      <c r="AD166" s="695">
        <v>19669066107.766598</v>
      </c>
      <c r="AE166" s="695">
        <v>21013966787.481976</v>
      </c>
      <c r="AF166" s="695">
        <v>21846767398.134319</v>
      </c>
      <c r="AG166" s="695">
        <v>22819076997.700848</v>
      </c>
    </row>
    <row r="167" spans="1:33">
      <c r="A167" s="22">
        <v>115</v>
      </c>
      <c r="B167" s="22" t="s">
        <v>26</v>
      </c>
      <c r="C167" s="696">
        <v>927624938.99079072</v>
      </c>
      <c r="D167" s="696">
        <v>928794914.70524788</v>
      </c>
      <c r="E167" s="696">
        <v>911722852.14781749</v>
      </c>
      <c r="F167" s="696">
        <v>884191580.17211604</v>
      </c>
      <c r="G167" s="696">
        <v>850268218.37789023</v>
      </c>
      <c r="H167" s="696">
        <v>836172405.56255627</v>
      </c>
      <c r="I167" s="696">
        <v>808389565.5356493</v>
      </c>
      <c r="J167" s="696">
        <v>699731518.73887253</v>
      </c>
      <c r="K167" s="696">
        <v>758798086.20154369</v>
      </c>
      <c r="L167" s="696">
        <v>838092030.72989225</v>
      </c>
      <c r="M167" s="696">
        <v>833961022.22968411</v>
      </c>
      <c r="N167" s="696">
        <v>857156435.67310572</v>
      </c>
      <c r="O167" s="696">
        <v>855438256.89951897</v>
      </c>
      <c r="P167" s="696">
        <v>793369048.70369649</v>
      </c>
      <c r="Q167" s="696">
        <v>819141730.30749834</v>
      </c>
      <c r="R167" s="696">
        <v>828162168.86882889</v>
      </c>
      <c r="S167" s="696">
        <v>838686013.85704792</v>
      </c>
      <c r="T167" s="696">
        <v>886795019.51747775</v>
      </c>
      <c r="U167" s="696">
        <v>900540449.70617211</v>
      </c>
      <c r="V167" s="696">
        <v>892722736.28635228</v>
      </c>
      <c r="W167" s="696">
        <v>892164328.18493664</v>
      </c>
      <c r="X167" s="696">
        <v>932756301.71092439</v>
      </c>
      <c r="Y167" s="696">
        <v>977794062.81356788</v>
      </c>
      <c r="Z167" s="696">
        <v>1036491345.1662264</v>
      </c>
      <c r="AA167" s="696">
        <v>1119608243.3384871</v>
      </c>
      <c r="AB167" s="696">
        <v>1178026321.6404378</v>
      </c>
      <c r="AC167" s="696">
        <v>1222698969.7536941</v>
      </c>
      <c r="AD167" s="696">
        <v>1285842039.6830084</v>
      </c>
      <c r="AE167" s="696">
        <v>1345763524.4118476</v>
      </c>
      <c r="AF167" s="696">
        <v>1387214587.3246286</v>
      </c>
      <c r="AG167" s="696"/>
    </row>
    <row r="168" spans="1:33">
      <c r="A168" s="22">
        <v>57</v>
      </c>
      <c r="B168" s="22" t="s">
        <v>12</v>
      </c>
      <c r="C168" s="694">
        <v>138635994.4631868</v>
      </c>
      <c r="D168" s="694">
        <v>147133610.36146131</v>
      </c>
      <c r="E168" s="694">
        <v>154191655.58607778</v>
      </c>
      <c r="F168" s="694">
        <v>160974840.20663023</v>
      </c>
      <c r="G168" s="694">
        <v>170460117.60185331</v>
      </c>
      <c r="H168" s="694">
        <v>180886483.59566319</v>
      </c>
      <c r="I168" s="694">
        <v>192938741.67277434</v>
      </c>
      <c r="J168" s="694">
        <v>201697249.28722394</v>
      </c>
      <c r="K168" s="694">
        <v>231164044.32712069</v>
      </c>
      <c r="L168" s="694">
        <v>236926948.53215364</v>
      </c>
      <c r="M168" s="694">
        <v>248881379.66974816</v>
      </c>
      <c r="N168" s="694">
        <v>250414125.95632586</v>
      </c>
      <c r="O168" s="694">
        <v>269254234.88868445</v>
      </c>
      <c r="P168" s="694">
        <v>269678191.38151801</v>
      </c>
      <c r="Q168" s="694">
        <v>261579068.94457835</v>
      </c>
      <c r="R168" s="694">
        <v>264199465.34184101</v>
      </c>
      <c r="S168" s="694">
        <v>267740138.63278875</v>
      </c>
      <c r="T168" s="694">
        <v>303281961.27290136</v>
      </c>
      <c r="U168" s="694">
        <v>318977408.17731893</v>
      </c>
      <c r="V168" s="694">
        <v>333028275.6975081</v>
      </c>
      <c r="W168" s="694">
        <v>339014808.82759732</v>
      </c>
      <c r="X168" s="694">
        <v>346557374.69344515</v>
      </c>
      <c r="Y168" s="694">
        <v>359870236.3856988</v>
      </c>
      <c r="Z168" s="694">
        <v>370929966.28712898</v>
      </c>
      <c r="AA168" s="694">
        <v>395321734.8504504</v>
      </c>
      <c r="AB168" s="694">
        <v>403732415.44599175</v>
      </c>
      <c r="AC168" s="694">
        <v>442206800.13613898</v>
      </c>
      <c r="AD168" s="694">
        <v>480068710.44604951</v>
      </c>
      <c r="AE168" s="694">
        <v>486325452.85360581</v>
      </c>
      <c r="AF168" s="694">
        <v>472745107.27056289</v>
      </c>
      <c r="AG168" s="694">
        <v>441125963.02627063</v>
      </c>
    </row>
    <row r="169" spans="1:33">
      <c r="A169" s="22">
        <v>572</v>
      </c>
      <c r="B169" s="22" t="s">
        <v>123</v>
      </c>
      <c r="C169" s="697">
        <v>470189234.808918</v>
      </c>
      <c r="D169" s="697">
        <v>539031708.71098948</v>
      </c>
      <c r="E169" s="697">
        <v>545352233.61018705</v>
      </c>
      <c r="F169" s="697">
        <v>551909285.42868936</v>
      </c>
      <c r="G169" s="697">
        <v>585916600.27094185</v>
      </c>
      <c r="H169" s="697">
        <v>608136990.30117726</v>
      </c>
      <c r="I169" s="697">
        <v>682721812.18859041</v>
      </c>
      <c r="J169" s="697">
        <v>782444189.44433022</v>
      </c>
      <c r="K169" s="697">
        <v>833849373.23988342</v>
      </c>
      <c r="L169" s="697">
        <v>941508542.67673624</v>
      </c>
      <c r="M169" s="697">
        <v>1033333548.9045805</v>
      </c>
      <c r="N169" s="697">
        <v>1060310219.4900109</v>
      </c>
      <c r="O169" s="697">
        <v>1077807013.2587235</v>
      </c>
      <c r="P169" s="697">
        <v>1107985375.9729841</v>
      </c>
      <c r="Q169" s="697">
        <v>1150110851.1810446</v>
      </c>
      <c r="R169" s="697">
        <v>1183934373.4534538</v>
      </c>
      <c r="S169" s="697">
        <v>1226423102.9160676</v>
      </c>
      <c r="T169" s="697">
        <v>1272816318.337657</v>
      </c>
      <c r="U169" s="697">
        <v>1307864026.6357255</v>
      </c>
      <c r="V169" s="697">
        <v>1353298534.1973243</v>
      </c>
      <c r="W169" s="697">
        <v>1489618181.4190824</v>
      </c>
      <c r="X169" s="697">
        <v>1504516115.4518461</v>
      </c>
      <c r="Y169" s="697">
        <v>1532067621.3891027</v>
      </c>
      <c r="Z169" s="697">
        <v>1591598045.7149801</v>
      </c>
      <c r="AA169" s="697">
        <v>1631565556.3165455</v>
      </c>
      <c r="AB169" s="697">
        <v>1667600985.4984348</v>
      </c>
      <c r="AC169" s="697">
        <v>1715488353.1052194</v>
      </c>
      <c r="AD169" s="697">
        <v>1775712506.75365</v>
      </c>
      <c r="AE169" s="697">
        <v>1818329606.9157376</v>
      </c>
      <c r="AF169" s="697">
        <v>1825602925.3434005</v>
      </c>
      <c r="AG169" s="697">
        <v>1845684557.5221777</v>
      </c>
    </row>
    <row r="170" spans="1:33">
      <c r="A170" s="22">
        <v>380</v>
      </c>
      <c r="B170" s="22" t="s">
        <v>77</v>
      </c>
      <c r="C170" s="698">
        <v>161524985811.26801</v>
      </c>
      <c r="D170" s="698">
        <v>161201875422.93332</v>
      </c>
      <c r="E170" s="698">
        <v>163136357097.64029</v>
      </c>
      <c r="F170" s="698">
        <v>166072796817.35825</v>
      </c>
      <c r="G170" s="698">
        <v>173213953199.01331</v>
      </c>
      <c r="H170" s="698">
        <v>177024595511.9949</v>
      </c>
      <c r="I170" s="698">
        <v>182158369059.83276</v>
      </c>
      <c r="J170" s="698">
        <v>188533909977.95288</v>
      </c>
      <c r="K170" s="698">
        <v>193624350592.6524</v>
      </c>
      <c r="L170" s="698">
        <v>199045752439.37042</v>
      </c>
      <c r="M170" s="698">
        <v>201036209971.40421</v>
      </c>
      <c r="N170" s="698">
        <v>198824805723.51614</v>
      </c>
      <c r="O170" s="698">
        <v>196438948505.81735</v>
      </c>
      <c r="P170" s="698">
        <v>192377179389.22964</v>
      </c>
      <c r="Q170" s="698">
        <v>200096549300.38635</v>
      </c>
      <c r="R170" s="698">
        <v>207977423326.27533</v>
      </c>
      <c r="S170" s="698">
        <v>211330470520.18073</v>
      </c>
      <c r="T170" s="698">
        <v>217054182947.32703</v>
      </c>
      <c r="U170" s="698">
        <v>226181208661.67511</v>
      </c>
      <c r="V170" s="698">
        <v>236720886140.88315</v>
      </c>
      <c r="W170" s="698">
        <v>247260155857.7634</v>
      </c>
      <c r="X170" s="698">
        <v>250381346619.80746</v>
      </c>
      <c r="Y170" s="698">
        <v>256599359760.75613</v>
      </c>
      <c r="Z170" s="698">
        <v>262592755560.89145</v>
      </c>
      <c r="AA170" s="698">
        <v>273713195629.87048</v>
      </c>
      <c r="AB170" s="698">
        <v>282364681299.25122</v>
      </c>
      <c r="AC170" s="698">
        <v>294498397000.72034</v>
      </c>
      <c r="AD170" s="698">
        <v>304258796358.95306</v>
      </c>
      <c r="AE170" s="698">
        <v>302392423837.85004</v>
      </c>
      <c r="AF170" s="698">
        <v>286265761850.80652</v>
      </c>
      <c r="AG170" s="698">
        <v>302113665981.45416</v>
      </c>
    </row>
    <row r="171" spans="1:33">
      <c r="A171" s="22">
        <v>225</v>
      </c>
      <c r="B171" s="22" t="s">
        <v>43</v>
      </c>
      <c r="C171" s="699">
        <v>180702992289.38214</v>
      </c>
      <c r="D171" s="699">
        <v>183900653172.62241</v>
      </c>
      <c r="E171" s="699">
        <v>181457786166.63782</v>
      </c>
      <c r="F171" s="699">
        <v>182420556476.84888</v>
      </c>
      <c r="G171" s="699">
        <v>188127756736.98325</v>
      </c>
      <c r="H171" s="699">
        <v>194737013723.72333</v>
      </c>
      <c r="I171" s="699">
        <v>198063018046.08282</v>
      </c>
      <c r="J171" s="699">
        <v>200548925850.26425</v>
      </c>
      <c r="K171" s="699">
        <v>207124032908.06311</v>
      </c>
      <c r="L171" s="699">
        <v>216549423539.79486</v>
      </c>
      <c r="M171" s="699">
        <v>224773357101.50305</v>
      </c>
      <c r="N171" s="699">
        <v>222646557539.83517</v>
      </c>
      <c r="O171" s="699">
        <v>222868803868.57352</v>
      </c>
      <c r="P171" s="699">
        <v>222455845022.08466</v>
      </c>
      <c r="Q171" s="699">
        <v>225104896241.69742</v>
      </c>
      <c r="R171" s="699">
        <v>225893294867.88489</v>
      </c>
      <c r="S171" s="699">
        <v>227312869891.46945</v>
      </c>
      <c r="T171" s="699">
        <v>232031126049.35294</v>
      </c>
      <c r="U171" s="699">
        <v>238153463507.4682</v>
      </c>
      <c r="V171" s="699">
        <v>241275975586.82938</v>
      </c>
      <c r="W171" s="699">
        <v>249918732454.99762</v>
      </c>
      <c r="X171" s="699">
        <v>252797994297.52151</v>
      </c>
      <c r="Y171" s="699">
        <v>253918245777.78296</v>
      </c>
      <c r="Z171" s="699">
        <v>253416009515.38379</v>
      </c>
      <c r="AA171" s="699">
        <v>259834271120.80161</v>
      </c>
      <c r="AB171" s="699">
        <v>266695571688.76489</v>
      </c>
      <c r="AC171" s="699">
        <v>276377655120.09943</v>
      </c>
      <c r="AD171" s="699">
        <v>286450318963.53314</v>
      </c>
      <c r="AE171" s="699">
        <v>291884722622.54999</v>
      </c>
      <c r="AF171" s="699">
        <v>286302852072.25989</v>
      </c>
      <c r="AG171" s="699">
        <v>293607939568.18787</v>
      </c>
    </row>
    <row r="172" spans="1:33">
      <c r="A172" s="22">
        <v>652</v>
      </c>
      <c r="B172" s="22" t="s">
        <v>137</v>
      </c>
      <c r="C172" s="700">
        <v>9481493125.6214771</v>
      </c>
      <c r="D172" s="700">
        <v>10382966156.427332</v>
      </c>
      <c r="E172" s="700">
        <v>10603308414.04311</v>
      </c>
      <c r="F172" s="700">
        <v>10754848135.751801</v>
      </c>
      <c r="G172" s="700">
        <v>10316938481.202194</v>
      </c>
      <c r="H172" s="700">
        <v>10947826495.38821</v>
      </c>
      <c r="I172" s="700">
        <v>10406379514.888235</v>
      </c>
      <c r="J172" s="700">
        <v>10604886043.572578</v>
      </c>
      <c r="K172" s="700">
        <v>12011760884.023766</v>
      </c>
      <c r="L172" s="700">
        <v>10935721637.120092</v>
      </c>
      <c r="M172" s="700">
        <v>11771295228.980869</v>
      </c>
      <c r="N172" s="700">
        <v>12701377130.445242</v>
      </c>
      <c r="O172" s="700">
        <v>14412295022.041618</v>
      </c>
      <c r="P172" s="700">
        <v>15158705922.459652</v>
      </c>
      <c r="Q172" s="700">
        <v>16318792154.673187</v>
      </c>
      <c r="R172" s="700">
        <v>17257125197.043541</v>
      </c>
      <c r="S172" s="700">
        <v>18016438705.713459</v>
      </c>
      <c r="T172" s="700">
        <v>18340734602.416302</v>
      </c>
      <c r="U172" s="700">
        <v>19503035377.852211</v>
      </c>
      <c r="V172" s="700">
        <v>18809964412.81139</v>
      </c>
      <c r="W172" s="700">
        <v>19325894913.125393</v>
      </c>
      <c r="X172" s="700">
        <v>20331023655.013611</v>
      </c>
      <c r="Y172" s="700">
        <v>21135294117.647064</v>
      </c>
      <c r="Z172" s="700">
        <v>21481808666.527111</v>
      </c>
      <c r="AA172" s="700">
        <v>22733137952.689972</v>
      </c>
      <c r="AB172" s="700">
        <v>24214182335.490856</v>
      </c>
      <c r="AC172" s="700">
        <v>25436034404.851074</v>
      </c>
      <c r="AD172" s="700">
        <v>26879468576.633469</v>
      </c>
      <c r="AE172" s="700">
        <v>28082752547.283386</v>
      </c>
      <c r="AF172" s="700">
        <v>29771298182.198643</v>
      </c>
      <c r="AG172" s="700">
        <v>30733741143.083122</v>
      </c>
    </row>
    <row r="173" spans="1:33">
      <c r="A173" s="22">
        <v>702</v>
      </c>
      <c r="B173" s="22" t="s">
        <v>150</v>
      </c>
      <c r="C173" s="701"/>
      <c r="D173" s="701"/>
      <c r="E173" s="701"/>
      <c r="F173" s="701"/>
      <c r="G173" s="701"/>
      <c r="H173" s="701">
        <v>2087356037.2025049</v>
      </c>
      <c r="I173" s="701">
        <v>2160413498.50459</v>
      </c>
      <c r="J173" s="701">
        <v>2134488536.5225353</v>
      </c>
      <c r="K173" s="701">
        <v>2431182443.0991673</v>
      </c>
      <c r="L173" s="701">
        <v>2273155584.2977223</v>
      </c>
      <c r="M173" s="701">
        <v>2259516650.7919335</v>
      </c>
      <c r="N173" s="701">
        <v>2099090968.585706</v>
      </c>
      <c r="O173" s="701">
        <v>1490354587.6958535</v>
      </c>
      <c r="P173" s="701">
        <v>1245936435.3137314</v>
      </c>
      <c r="Q173" s="701">
        <v>980551974.59190881</v>
      </c>
      <c r="R173" s="701">
        <v>858963529.74251318</v>
      </c>
      <c r="S173" s="701">
        <v>715516620.27551425</v>
      </c>
      <c r="T173" s="701">
        <v>727680402.82019472</v>
      </c>
      <c r="U173" s="701">
        <v>766247464.16966724</v>
      </c>
      <c r="V173" s="701">
        <v>794598620.34394372</v>
      </c>
      <c r="W173" s="701">
        <v>860550294.2734673</v>
      </c>
      <c r="X173" s="701">
        <v>948326437.02740467</v>
      </c>
      <c r="Y173" s="701">
        <v>1034624142.7968985</v>
      </c>
      <c r="Z173" s="701">
        <v>1140155805.3621829</v>
      </c>
      <c r="AA173" s="701">
        <v>1261012320.7305737</v>
      </c>
      <c r="AB173" s="701">
        <v>1393235590.9385543</v>
      </c>
      <c r="AC173" s="701">
        <v>1486582375.5314357</v>
      </c>
      <c r="AD173" s="701">
        <v>1590643141.818639</v>
      </c>
      <c r="AE173" s="701">
        <v>1714713306.8804944</v>
      </c>
      <c r="AF173" s="701">
        <v>1850175658.1240525</v>
      </c>
      <c r="AG173" s="701">
        <v>1920482333.1327653</v>
      </c>
    </row>
    <row r="174" spans="1:33">
      <c r="A174" s="22">
        <v>713</v>
      </c>
      <c r="B174" s="22" t="s">
        <v>156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</row>
    <row r="175" spans="1:33">
      <c r="A175" s="22">
        <v>510</v>
      </c>
      <c r="B175" s="22" t="s">
        <v>107</v>
      </c>
      <c r="C175" s="702"/>
      <c r="D175" s="702"/>
      <c r="E175" s="702"/>
      <c r="F175" s="702"/>
      <c r="G175" s="702"/>
      <c r="H175" s="702"/>
      <c r="I175" s="702"/>
      <c r="J175" s="702"/>
      <c r="K175" s="702">
        <v>6794250325.8703184</v>
      </c>
      <c r="L175" s="702">
        <v>7050016034.4180317</v>
      </c>
      <c r="M175" s="702">
        <v>7546694714.8782034</v>
      </c>
      <c r="N175" s="702">
        <v>7703061339.7899714</v>
      </c>
      <c r="O175" s="702">
        <v>7748072032.1522608</v>
      </c>
      <c r="P175" s="702">
        <v>7841498347.3621492</v>
      </c>
      <c r="Q175" s="702">
        <v>7964426518.7371168</v>
      </c>
      <c r="R175" s="702">
        <v>8248749526.3219252</v>
      </c>
      <c r="S175" s="702">
        <v>8623602961.3948956</v>
      </c>
      <c r="T175" s="702">
        <v>8927608955.8383083</v>
      </c>
      <c r="U175" s="702">
        <v>9258690369.2737122</v>
      </c>
      <c r="V175" s="702">
        <v>9706846381.4682674</v>
      </c>
      <c r="W175" s="702">
        <v>10185767294.261692</v>
      </c>
      <c r="X175" s="702">
        <v>10796692184.353796</v>
      </c>
      <c r="Y175" s="702">
        <v>11570119009.200695</v>
      </c>
      <c r="Z175" s="702">
        <v>12366863614.17062</v>
      </c>
      <c r="AA175" s="702">
        <v>13334978598.304602</v>
      </c>
      <c r="AB175" s="702">
        <v>14317750540.596712</v>
      </c>
      <c r="AC175" s="702">
        <v>15282391704.632992</v>
      </c>
      <c r="AD175" s="702">
        <v>16374791671.7106</v>
      </c>
      <c r="AE175" s="702">
        <v>17592555398.647152</v>
      </c>
      <c r="AF175" s="702">
        <v>18651970660.813171</v>
      </c>
      <c r="AG175" s="702">
        <v>19954809363.56366</v>
      </c>
    </row>
    <row r="176" spans="1:33">
      <c r="A176" s="22">
        <v>800</v>
      </c>
      <c r="B176" s="22" t="s">
        <v>168</v>
      </c>
      <c r="C176" s="703">
        <v>37274986913.517296</v>
      </c>
      <c r="D176" s="703">
        <v>39476772125.685181</v>
      </c>
      <c r="E176" s="703">
        <v>41589706661.291359</v>
      </c>
      <c r="F176" s="703">
        <v>43912159722.247009</v>
      </c>
      <c r="G176" s="703">
        <v>46438174778.872299</v>
      </c>
      <c r="H176" s="703">
        <v>48596267188.276505</v>
      </c>
      <c r="I176" s="703">
        <v>51285501317.380844</v>
      </c>
      <c r="J176" s="703">
        <v>56167342576.790024</v>
      </c>
      <c r="K176" s="703">
        <v>63630922388.388542</v>
      </c>
      <c r="L176" s="703">
        <v>71387853266.256836</v>
      </c>
      <c r="M176" s="703">
        <v>79359850155.599213</v>
      </c>
      <c r="N176" s="703">
        <v>86151673510.046814</v>
      </c>
      <c r="O176" s="703">
        <v>93115648058.00592</v>
      </c>
      <c r="P176" s="703">
        <v>100798662359.30872</v>
      </c>
      <c r="Q176" s="703">
        <v>109857624322.70312</v>
      </c>
      <c r="R176" s="703">
        <v>120005700843.92992</v>
      </c>
      <c r="S176" s="703">
        <v>127087651038.97679</v>
      </c>
      <c r="T176" s="703">
        <v>125344804675.29575</v>
      </c>
      <c r="U176" s="703">
        <v>112171099813.34239</v>
      </c>
      <c r="V176" s="703">
        <v>117160062361.44612</v>
      </c>
      <c r="W176" s="703">
        <v>122725247705.55911</v>
      </c>
      <c r="X176" s="703">
        <v>125385028150.52055</v>
      </c>
      <c r="Y176" s="703">
        <v>132052469495.6884</v>
      </c>
      <c r="Z176" s="703">
        <v>141480983231.29068</v>
      </c>
      <c r="AA176" s="703">
        <v>150456640790.21326</v>
      </c>
      <c r="AB176" s="703">
        <v>157384716142.48016</v>
      </c>
      <c r="AC176" s="703">
        <v>165400160325.4288</v>
      </c>
      <c r="AD176" s="703">
        <v>173743467321.81537</v>
      </c>
      <c r="AE176" s="703">
        <v>178059776977.33737</v>
      </c>
      <c r="AF176" s="703">
        <v>173911253778.41238</v>
      </c>
      <c r="AG176" s="703">
        <v>187482253174.50632</v>
      </c>
    </row>
    <row r="177" spans="1:33">
      <c r="A177" s="22">
        <v>701</v>
      </c>
      <c r="B177" s="22" t="s">
        <v>149</v>
      </c>
      <c r="C177" s="710"/>
      <c r="D177" s="710"/>
      <c r="E177" s="710"/>
      <c r="F177" s="710"/>
      <c r="G177" s="710"/>
      <c r="H177" s="710"/>
      <c r="I177" s="710"/>
      <c r="J177" s="710">
        <v>3568056335.9881101</v>
      </c>
      <c r="K177" s="710">
        <v>3961385380.9001851</v>
      </c>
      <c r="L177" s="710">
        <v>3792815790.2235813</v>
      </c>
      <c r="M177" s="710">
        <v>3820910722.0030155</v>
      </c>
      <c r="N177" s="710">
        <v>3641327918.0688696</v>
      </c>
      <c r="O177" s="710">
        <v>3448337538.4112182</v>
      </c>
      <c r="P177" s="710">
        <v>3103503784.5700932</v>
      </c>
      <c r="Q177" s="710">
        <v>2566597629.8394785</v>
      </c>
      <c r="R177" s="710">
        <v>2381802600.4910374</v>
      </c>
      <c r="S177" s="710">
        <v>2222221826.2581358</v>
      </c>
      <c r="T177" s="710">
        <v>1971110759.8909686</v>
      </c>
      <c r="U177" s="710">
        <v>2103175180.8036633</v>
      </c>
      <c r="V177" s="710">
        <v>2449271103.732625</v>
      </c>
      <c r="W177" s="710">
        <v>2904662604.820529</v>
      </c>
      <c r="X177" s="710">
        <v>3497984789.2658858</v>
      </c>
      <c r="Y177" s="710">
        <v>4050666385.969893</v>
      </c>
      <c r="Z177" s="710">
        <v>4743330337.9707537</v>
      </c>
      <c r="AA177" s="710">
        <v>5559183156.1017113</v>
      </c>
      <c r="AB177" s="710">
        <v>6281876966.3949471</v>
      </c>
      <c r="AC177" s="710">
        <v>6998010940.563962</v>
      </c>
      <c r="AD177" s="710">
        <v>7823776231.5505238</v>
      </c>
      <c r="AE177" s="710">
        <v>8645272735.8633289</v>
      </c>
      <c r="AF177" s="710">
        <v>9172634372.7509918</v>
      </c>
      <c r="AG177" s="710">
        <v>9915617756.9438248</v>
      </c>
    </row>
    <row r="178" spans="1:33">
      <c r="A178" s="22">
        <v>461</v>
      </c>
      <c r="B178" s="22" t="s">
        <v>97</v>
      </c>
      <c r="C178" s="705">
        <v>964153689.21458709</v>
      </c>
      <c r="D178" s="705">
        <v>932190200.24955022</v>
      </c>
      <c r="E178" s="705">
        <v>898795394.7918489</v>
      </c>
      <c r="F178" s="705">
        <v>850134542.17934227</v>
      </c>
      <c r="G178" s="705">
        <v>897364234.62470782</v>
      </c>
      <c r="H178" s="705">
        <v>947217772.81833994</v>
      </c>
      <c r="I178" s="705">
        <v>962245423.54989123</v>
      </c>
      <c r="J178" s="705">
        <v>967154435.79987991</v>
      </c>
      <c r="K178" s="705">
        <v>1031396409.6596956</v>
      </c>
      <c r="L178" s="705">
        <v>1073271327.6249685</v>
      </c>
      <c r="M178" s="705">
        <v>1070656236.106015</v>
      </c>
      <c r="N178" s="705">
        <v>1063161990.5120509</v>
      </c>
      <c r="O178" s="705">
        <v>1020840841.3401036</v>
      </c>
      <c r="P178" s="705">
        <v>866736469.09474874</v>
      </c>
      <c r="Q178" s="705">
        <v>996594518.16546392</v>
      </c>
      <c r="R178" s="705">
        <v>1074785652.9705825</v>
      </c>
      <c r="S178" s="705">
        <v>1169755987.8346944</v>
      </c>
      <c r="T178" s="705">
        <v>1337936222.8621042</v>
      </c>
      <c r="U178" s="705">
        <v>1307165341.3154309</v>
      </c>
      <c r="V178" s="705">
        <v>1339605935.7780225</v>
      </c>
      <c r="W178" s="705">
        <v>1329110396.4594336</v>
      </c>
      <c r="X178" s="705">
        <v>1326725025.2971828</v>
      </c>
      <c r="Y178" s="705">
        <v>1381587936.7268553</v>
      </c>
      <c r="Z178" s="705">
        <v>1418890802.1079254</v>
      </c>
      <c r="AA178" s="705">
        <v>1461457460.5144434</v>
      </c>
      <c r="AB178" s="705">
        <v>1478708605.999989</v>
      </c>
      <c r="AC178" s="705">
        <v>1538631979.1083121</v>
      </c>
      <c r="AD178" s="705">
        <v>1573874117.3477821</v>
      </c>
      <c r="AE178" s="705">
        <v>1611320806.5882523</v>
      </c>
      <c r="AF178" s="705">
        <v>1663308020.7440755</v>
      </c>
      <c r="AG178" s="705">
        <v>1719332980.1062431</v>
      </c>
    </row>
    <row r="179" spans="1:33">
      <c r="A179" s="22">
        <v>955</v>
      </c>
      <c r="B179" s="22" t="s">
        <v>185</v>
      </c>
      <c r="C179" s="706"/>
      <c r="D179" s="706">
        <v>120957001.52776842</v>
      </c>
      <c r="E179" s="706">
        <v>126691884.91631892</v>
      </c>
      <c r="F179" s="706">
        <v>129203441.10449341</v>
      </c>
      <c r="G179" s="706">
        <v>131449508.53866501</v>
      </c>
      <c r="H179" s="706">
        <v>140070563.5996297</v>
      </c>
      <c r="I179" s="706">
        <v>143038174.08915883</v>
      </c>
      <c r="J179" s="706">
        <v>147308796.86827266</v>
      </c>
      <c r="K179" s="706">
        <v>144536638.22218123</v>
      </c>
      <c r="L179" s="706">
        <v>145100191.03742662</v>
      </c>
      <c r="M179" s="706">
        <v>142134209.31325948</v>
      </c>
      <c r="N179" s="706">
        <v>151252037.80962831</v>
      </c>
      <c r="O179" s="706">
        <v>151633168.90433183</v>
      </c>
      <c r="P179" s="706">
        <v>157301272.36402521</v>
      </c>
      <c r="Q179" s="706">
        <v>165091657.09037966</v>
      </c>
      <c r="R179" s="706">
        <v>171697818.68508232</v>
      </c>
      <c r="S179" s="706">
        <v>171519771.64967924</v>
      </c>
      <c r="T179" s="706">
        <v>170275480.87493649</v>
      </c>
      <c r="U179" s="706">
        <v>175537097.6303429</v>
      </c>
      <c r="V179" s="706">
        <v>182861836.33793917</v>
      </c>
      <c r="W179" s="706">
        <v>188628160.91905263</v>
      </c>
      <c r="X179" s="706">
        <v>195320265.58311978</v>
      </c>
      <c r="Y179" s="706">
        <v>202427546.90497214</v>
      </c>
      <c r="Z179" s="706">
        <v>207598212.84821308</v>
      </c>
      <c r="AA179" s="706">
        <v>209657522.495033</v>
      </c>
      <c r="AB179" s="706">
        <v>207978989.13615236</v>
      </c>
      <c r="AC179" s="706">
        <v>208259576.47661936</v>
      </c>
      <c r="AD179" s="706">
        <v>206380306.72001332</v>
      </c>
      <c r="AE179" s="706">
        <v>211736419.60849306</v>
      </c>
      <c r="AF179" s="706">
        <v>215282577.79482993</v>
      </c>
      <c r="AG179" s="706">
        <v>214573346.15756255</v>
      </c>
    </row>
    <row r="180" spans="1:33">
      <c r="A180" s="22">
        <v>52</v>
      </c>
      <c r="B180" s="22" t="s">
        <v>7</v>
      </c>
      <c r="C180" s="707">
        <v>7490962394.6483994</v>
      </c>
      <c r="D180" s="707">
        <v>7833839691.6624355</v>
      </c>
      <c r="E180" s="707">
        <v>8150005669.2440796</v>
      </c>
      <c r="F180" s="707">
        <v>7399928179.0602713</v>
      </c>
      <c r="G180" s="707">
        <v>6974242085.7833567</v>
      </c>
      <c r="H180" s="707">
        <v>6686947973.7109213</v>
      </c>
      <c r="I180" s="707">
        <v>6467666525.7707272</v>
      </c>
      <c r="J180" s="707">
        <v>6172490289.0852184</v>
      </c>
      <c r="K180" s="707">
        <v>5930636563.64011</v>
      </c>
      <c r="L180" s="707">
        <v>5881644247.0646496</v>
      </c>
      <c r="M180" s="707">
        <v>5970341067.7848387</v>
      </c>
      <c r="N180" s="707">
        <v>6130454891.8663425</v>
      </c>
      <c r="O180" s="707">
        <v>6029472931.7776775</v>
      </c>
      <c r="P180" s="707">
        <v>5942107678.4259253</v>
      </c>
      <c r="Q180" s="707">
        <v>6153767073.504694</v>
      </c>
      <c r="R180" s="707">
        <v>6397137667.4412899</v>
      </c>
      <c r="S180" s="707">
        <v>6649611422.8649473</v>
      </c>
      <c r="T180" s="707">
        <v>6829447788.2326813</v>
      </c>
      <c r="U180" s="707">
        <v>7360039023.9718714</v>
      </c>
      <c r="V180" s="707">
        <v>7683040987.5455847</v>
      </c>
      <c r="W180" s="707">
        <v>8154315708.3482666</v>
      </c>
      <c r="X180" s="707">
        <v>8488206225.9841051</v>
      </c>
      <c r="Y180" s="707">
        <v>9168418142.3957081</v>
      </c>
      <c r="Z180" s="707">
        <v>10491745685.97163</v>
      </c>
      <c r="AA180" s="707">
        <v>11320593595.163385</v>
      </c>
      <c r="AB180" s="707">
        <v>11977188023.682863</v>
      </c>
      <c r="AC180" s="707">
        <v>13558176624.094606</v>
      </c>
      <c r="AD180" s="707">
        <v>14208975070.494667</v>
      </c>
      <c r="AE180" s="707">
        <v>14549985900.612782</v>
      </c>
      <c r="AF180" s="707">
        <v>14040731632.035336</v>
      </c>
      <c r="AG180" s="707">
        <v>14054779697.23361</v>
      </c>
    </row>
    <row r="181" spans="1:33" ht="16.5" customHeight="1">
      <c r="A181" s="22">
        <v>616</v>
      </c>
      <c r="B181" s="22" t="s">
        <v>130</v>
      </c>
      <c r="C181" s="708">
        <v>8621858060.6303005</v>
      </c>
      <c r="D181" s="708">
        <v>9097273613.4800129</v>
      </c>
      <c r="E181" s="708">
        <v>9052356942.5863838</v>
      </c>
      <c r="F181" s="708">
        <v>9476180799.0880871</v>
      </c>
      <c r="G181" s="708">
        <v>10020951621.622494</v>
      </c>
      <c r="H181" s="708">
        <v>10586992389.885788</v>
      </c>
      <c r="I181" s="708">
        <v>10433799889.537529</v>
      </c>
      <c r="J181" s="708">
        <v>11133007502.507502</v>
      </c>
      <c r="K181" s="708">
        <v>11141040935.901701</v>
      </c>
      <c r="L181" s="708">
        <v>11335641417.637629</v>
      </c>
      <c r="M181" s="708">
        <v>12236804465.865866</v>
      </c>
      <c r="N181" s="708">
        <v>12714596037.84848</v>
      </c>
      <c r="O181" s="708">
        <v>13707062926.18177</v>
      </c>
      <c r="P181" s="708">
        <v>14007224195.532913</v>
      </c>
      <c r="Q181" s="708">
        <v>14452431355.313065</v>
      </c>
      <c r="R181" s="708">
        <v>14792304877.035957</v>
      </c>
      <c r="S181" s="708">
        <v>15849374888.173433</v>
      </c>
      <c r="T181" s="708">
        <v>16711730408.337173</v>
      </c>
      <c r="U181" s="708">
        <v>17511179910.49894</v>
      </c>
      <c r="V181" s="708">
        <v>18571304710.280396</v>
      </c>
      <c r="W181" s="708">
        <v>19443277157.65667</v>
      </c>
      <c r="X181" s="708">
        <v>20400783687.064404</v>
      </c>
      <c r="Y181" s="708">
        <v>20738168121.744049</v>
      </c>
      <c r="Z181" s="708">
        <v>21891294264.686695</v>
      </c>
      <c r="AA181" s="708">
        <v>23213225765.289314</v>
      </c>
      <c r="AB181" s="708">
        <v>24136450777.692379</v>
      </c>
      <c r="AC181" s="708">
        <v>25502733283.792793</v>
      </c>
      <c r="AD181" s="708">
        <v>27117698213.577267</v>
      </c>
      <c r="AE181" s="708">
        <v>28375592292.976433</v>
      </c>
      <c r="AF181" s="708">
        <v>29264875209.33527</v>
      </c>
      <c r="AG181" s="708">
        <v>30347628073.146214</v>
      </c>
    </row>
    <row r="182" spans="1:33">
      <c r="A182" s="22">
        <v>640</v>
      </c>
      <c r="B182" s="22" t="s">
        <v>134</v>
      </c>
      <c r="C182" s="709">
        <v>112043265797.35258</v>
      </c>
      <c r="D182" s="709">
        <v>117484813541.96835</v>
      </c>
      <c r="E182" s="709">
        <v>121671065034.85788</v>
      </c>
      <c r="F182" s="709">
        <v>127719432121.03558</v>
      </c>
      <c r="G182" s="709">
        <v>136291980543.20389</v>
      </c>
      <c r="H182" s="709">
        <v>142072580798.04611</v>
      </c>
      <c r="I182" s="709">
        <v>152034754423.1011</v>
      </c>
      <c r="J182" s="709">
        <v>166456070030.55133</v>
      </c>
      <c r="K182" s="709">
        <v>170319077300.56238</v>
      </c>
      <c r="L182" s="709">
        <v>170813418317.42764</v>
      </c>
      <c r="M182" s="709">
        <v>186641240190.04568</v>
      </c>
      <c r="N182" s="709">
        <v>187985577936.71619</v>
      </c>
      <c r="O182" s="709">
        <v>197451845375.52893</v>
      </c>
      <c r="P182" s="709">
        <v>212559409689.11829</v>
      </c>
      <c r="Q182" s="709">
        <v>202636823219.32776</v>
      </c>
      <c r="R182" s="709">
        <v>218601092942.57843</v>
      </c>
      <c r="S182" s="709">
        <v>234733120142.47125</v>
      </c>
      <c r="T182" s="709">
        <v>252520406456.20914</v>
      </c>
      <c r="U182" s="709">
        <v>258349119484.41953</v>
      </c>
      <c r="V182" s="709">
        <v>249654780791.61246</v>
      </c>
      <c r="W182" s="709">
        <v>266567531989.76328</v>
      </c>
      <c r="X182" s="709">
        <v>251379908800.54651</v>
      </c>
      <c r="Y182" s="709">
        <v>266874563573.82874</v>
      </c>
      <c r="Z182" s="709">
        <v>280926215534.27423</v>
      </c>
      <c r="AA182" s="709">
        <v>307228800117.14532</v>
      </c>
      <c r="AB182" s="709">
        <v>333040988666.58826</v>
      </c>
      <c r="AC182" s="709">
        <v>355999132580.23706</v>
      </c>
      <c r="AD182" s="709">
        <v>372619233719.76257</v>
      </c>
      <c r="AE182" s="709">
        <v>375074194704.61261</v>
      </c>
      <c r="AF182" s="709">
        <v>356973581802.80109</v>
      </c>
      <c r="AG182" s="709">
        <v>388905234653.39697</v>
      </c>
    </row>
    <row r="183" spans="1:33">
      <c r="A183" s="22">
        <v>696</v>
      </c>
      <c r="B183" s="22" t="s">
        <v>146</v>
      </c>
      <c r="C183" s="713">
        <v>47314064026.69883</v>
      </c>
      <c r="D183" s="713">
        <v>48658652768.661583</v>
      </c>
      <c r="E183" s="713">
        <v>44644028767.687363</v>
      </c>
      <c r="F183" s="713">
        <v>42236584606.846634</v>
      </c>
      <c r="G183" s="713">
        <v>44184179002.023109</v>
      </c>
      <c r="H183" s="713">
        <v>41279841546.414665</v>
      </c>
      <c r="I183" s="713">
        <v>33526105218.313583</v>
      </c>
      <c r="J183" s="713">
        <v>35624328298.370171</v>
      </c>
      <c r="K183" s="713">
        <v>34769968015.964638</v>
      </c>
      <c r="L183" s="713">
        <v>39477070099.871002</v>
      </c>
      <c r="M183" s="713">
        <v>46397405432.9702</v>
      </c>
      <c r="N183" s="713">
        <v>46494824528.098167</v>
      </c>
      <c r="O183" s="713">
        <v>47745573753.946259</v>
      </c>
      <c r="P183" s="713">
        <v>47315853816.205482</v>
      </c>
      <c r="Q183" s="713">
        <v>50786711086.140099</v>
      </c>
      <c r="R183" s="713">
        <v>54822031824.773453</v>
      </c>
      <c r="S183" s="713">
        <v>58203579669.523766</v>
      </c>
      <c r="T183" s="713">
        <v>62078422536.659683</v>
      </c>
      <c r="U183" s="713">
        <v>64728400606.344505</v>
      </c>
      <c r="V183" s="713">
        <v>67240228160.566307</v>
      </c>
      <c r="W183" s="713">
        <v>70591424755.707321</v>
      </c>
      <c r="X183" s="713">
        <v>71791478976.554337</v>
      </c>
      <c r="Y183" s="713">
        <v>73658057429.944748</v>
      </c>
      <c r="Z183" s="713">
        <v>82423366264.10817</v>
      </c>
      <c r="AA183" s="713">
        <v>90418432791.726654</v>
      </c>
      <c r="AB183" s="713">
        <v>97832744280.648239</v>
      </c>
      <c r="AC183" s="713">
        <v>106344193033.06464</v>
      </c>
      <c r="AD183" s="713">
        <v>112831188808.08157</v>
      </c>
      <c r="AE183" s="713">
        <v>118585579437.29373</v>
      </c>
      <c r="AF183" s="713">
        <v>117755480381.23268</v>
      </c>
      <c r="AG183" s="713"/>
    </row>
    <row r="184" spans="1:33">
      <c r="A184" s="22">
        <v>500</v>
      </c>
      <c r="B184" s="22" t="s">
        <v>105</v>
      </c>
      <c r="C184" s="711"/>
      <c r="D184" s="711"/>
      <c r="E184" s="711">
        <v>2525527942.1919904</v>
      </c>
      <c r="F184" s="711">
        <v>2670608352.2355814</v>
      </c>
      <c r="G184" s="711">
        <v>2661403388.0245204</v>
      </c>
      <c r="H184" s="711">
        <v>2573407278.5972691</v>
      </c>
      <c r="I184" s="711">
        <v>2583445804.4410949</v>
      </c>
      <c r="J184" s="711">
        <v>2685799415.7841086</v>
      </c>
      <c r="K184" s="711">
        <v>2907836428.7191353</v>
      </c>
      <c r="L184" s="711">
        <v>3092831273.8934021</v>
      </c>
      <c r="M184" s="711">
        <v>3293065505.2171416</v>
      </c>
      <c r="N184" s="711">
        <v>3475965508.0666189</v>
      </c>
      <c r="O184" s="711">
        <v>3594786414.5489192</v>
      </c>
      <c r="P184" s="711">
        <v>3894098846.9705577</v>
      </c>
      <c r="Q184" s="711">
        <v>4143462752.5626073</v>
      </c>
      <c r="R184" s="711">
        <v>4620924067.688199</v>
      </c>
      <c r="S184" s="711">
        <v>5040139593.852437</v>
      </c>
      <c r="T184" s="711">
        <v>5297186807.0813456</v>
      </c>
      <c r="U184" s="711">
        <v>5557027883.1141844</v>
      </c>
      <c r="V184" s="711">
        <v>6004588040.0895243</v>
      </c>
      <c r="W184" s="711">
        <v>6193246632.3273029</v>
      </c>
      <c r="X184" s="711">
        <v>6514283550.4746313</v>
      </c>
      <c r="Y184" s="711">
        <v>7083155462.7345791</v>
      </c>
      <c r="Z184" s="711">
        <v>7541666437.9277411</v>
      </c>
      <c r="AA184" s="711">
        <v>8055045270.3980513</v>
      </c>
      <c r="AB184" s="711">
        <v>8565136257.3183146</v>
      </c>
      <c r="AC184" s="711">
        <v>9488864308.979805</v>
      </c>
      <c r="AD184" s="711">
        <v>10287107993.955654</v>
      </c>
      <c r="AE184" s="711">
        <v>11182997488.186361</v>
      </c>
      <c r="AF184" s="711">
        <v>11993479807.825619</v>
      </c>
      <c r="AG184" s="711">
        <v>12614923289.500031</v>
      </c>
    </row>
    <row r="185" spans="1:33">
      <c r="A185" s="22">
        <v>200</v>
      </c>
      <c r="B185" s="22" t="s">
        <v>35</v>
      </c>
      <c r="C185" s="714">
        <v>879820083825.08716</v>
      </c>
      <c r="D185" s="714">
        <v>868183785898.01807</v>
      </c>
      <c r="E185" s="714">
        <v>886350006203.66187</v>
      </c>
      <c r="F185" s="714">
        <v>918471786654.56226</v>
      </c>
      <c r="G185" s="714">
        <v>942999983053.41223</v>
      </c>
      <c r="H185" s="714">
        <v>976946516114.38977</v>
      </c>
      <c r="I185" s="714">
        <v>1016147377666.8182</v>
      </c>
      <c r="J185" s="714">
        <v>1062504628990.7705</v>
      </c>
      <c r="K185" s="714">
        <v>1115970285519.7461</v>
      </c>
      <c r="L185" s="714">
        <v>1141430185353.3064</v>
      </c>
      <c r="M185" s="714">
        <v>1150326021939.7793</v>
      </c>
      <c r="N185" s="714">
        <v>1134308451202.9053</v>
      </c>
      <c r="O185" s="714">
        <v>1135971921924.6484</v>
      </c>
      <c r="P185" s="714">
        <v>1161214557724.3154</v>
      </c>
      <c r="Q185" s="714">
        <v>1210917411257.3762</v>
      </c>
      <c r="R185" s="714">
        <v>1247878985171.7354</v>
      </c>
      <c r="S185" s="714">
        <v>1283884863216.8254</v>
      </c>
      <c r="T185" s="714">
        <v>1326347353760.0242</v>
      </c>
      <c r="U185" s="714">
        <v>1374185467241.6401</v>
      </c>
      <c r="V185" s="714">
        <v>1421904951883.7947</v>
      </c>
      <c r="W185" s="714">
        <v>1477580571947.3445</v>
      </c>
      <c r="X185" s="714">
        <v>1513948001244.845</v>
      </c>
      <c r="Y185" s="714">
        <v>1545696584647.6411</v>
      </c>
      <c r="Z185" s="714">
        <v>1589104164660.5898</v>
      </c>
      <c r="AA185" s="714">
        <v>1636000130945.7361</v>
      </c>
      <c r="AB185" s="714">
        <v>1671547524315.697</v>
      </c>
      <c r="AC185" s="714">
        <v>1718147294658.561</v>
      </c>
      <c r="AD185" s="714">
        <v>1764278842594.8508</v>
      </c>
      <c r="AE185" s="714">
        <v>1763127688059.3464</v>
      </c>
      <c r="AF185" s="714">
        <v>1677179127515.2324</v>
      </c>
      <c r="AG185" s="714">
        <v>1698161182430.906</v>
      </c>
    </row>
    <row r="186" spans="1:33">
      <c r="A186" s="22">
        <v>369</v>
      </c>
      <c r="B186" s="22" t="s">
        <v>71</v>
      </c>
      <c r="C186" s="712"/>
      <c r="D186" s="712"/>
      <c r="E186" s="712"/>
      <c r="F186" s="712"/>
      <c r="G186" s="712"/>
      <c r="H186" s="712"/>
      <c r="I186" s="712"/>
      <c r="J186" s="712">
        <v>72112790854.957672</v>
      </c>
      <c r="K186" s="712">
        <v>73963539143.793655</v>
      </c>
      <c r="L186" s="712">
        <v>76828223357.81633</v>
      </c>
      <c r="M186" s="712">
        <v>71953291930.008972</v>
      </c>
      <c r="N186" s="712">
        <v>65901556790.232727</v>
      </c>
      <c r="O186" s="712">
        <v>59509765723.315887</v>
      </c>
      <c r="P186" s="712">
        <v>51043842843.853828</v>
      </c>
      <c r="Q186" s="712">
        <v>39337424682.619736</v>
      </c>
      <c r="R186" s="712">
        <v>34538258871.340118</v>
      </c>
      <c r="S186" s="712">
        <v>31084432984.206131</v>
      </c>
      <c r="T186" s="712">
        <v>30151899994.679989</v>
      </c>
      <c r="U186" s="712">
        <v>29579013894.781097</v>
      </c>
      <c r="V186" s="712">
        <v>29519855866.991524</v>
      </c>
      <c r="W186" s="712">
        <v>31261527363.143963</v>
      </c>
      <c r="X186" s="712">
        <v>34137587880.553246</v>
      </c>
      <c r="Y186" s="712">
        <v>35912742450.341965</v>
      </c>
      <c r="Z186" s="712">
        <v>39288540240.674187</v>
      </c>
      <c r="AA186" s="712">
        <v>44042453609.795761</v>
      </c>
      <c r="AB186" s="712">
        <v>45231599857.260246</v>
      </c>
      <c r="AC186" s="712">
        <v>48533506646.84024</v>
      </c>
      <c r="AD186" s="712">
        <v>52367654044.591797</v>
      </c>
      <c r="AE186" s="712">
        <v>53467374779.528221</v>
      </c>
      <c r="AF186" s="712">
        <v>45554203312.158066</v>
      </c>
      <c r="AG186" s="712">
        <v>47467479851.268623</v>
      </c>
    </row>
    <row r="187" spans="1:33">
      <c r="A187" s="22">
        <v>165</v>
      </c>
      <c r="B187" s="22" t="s">
        <v>34</v>
      </c>
      <c r="C187" s="716">
        <v>16377160976.626345</v>
      </c>
      <c r="D187" s="716">
        <v>16632572596.834719</v>
      </c>
      <c r="E187" s="716">
        <v>15009587543.713484</v>
      </c>
      <c r="F187" s="716">
        <v>13467442600.314438</v>
      </c>
      <c r="G187" s="716">
        <v>13313561255.83733</v>
      </c>
      <c r="H187" s="716">
        <v>13508809424.597637</v>
      </c>
      <c r="I187" s="716">
        <v>14698909639.962809</v>
      </c>
      <c r="J187" s="716">
        <v>15873813653.514091</v>
      </c>
      <c r="K187" s="716">
        <v>16108894904.653309</v>
      </c>
      <c r="L187" s="716">
        <v>16286721165.273445</v>
      </c>
      <c r="M187" s="716">
        <v>16335149464.993473</v>
      </c>
      <c r="N187" s="716">
        <v>16913219121.873432</v>
      </c>
      <c r="O187" s="716">
        <v>18254706048.666428</v>
      </c>
      <c r="P187" s="716">
        <v>18739833279.300819</v>
      </c>
      <c r="Q187" s="716">
        <v>20104344754.29668</v>
      </c>
      <c r="R187" s="716">
        <v>19813314465.012455</v>
      </c>
      <c r="S187" s="716">
        <v>20918492778.750031</v>
      </c>
      <c r="T187" s="716">
        <v>22706539276.02927</v>
      </c>
      <c r="U187" s="716">
        <v>23732622829.580994</v>
      </c>
      <c r="V187" s="716">
        <v>23272396922.882069</v>
      </c>
      <c r="W187" s="716">
        <v>22823255805.966358</v>
      </c>
      <c r="X187" s="716">
        <v>21945900192.333755</v>
      </c>
      <c r="Y187" s="716">
        <v>20249041605.078148</v>
      </c>
      <c r="Z187" s="716">
        <v>20412103881.042545</v>
      </c>
      <c r="AA187" s="716">
        <v>21433558291.486778</v>
      </c>
      <c r="AB187" s="716">
        <v>23032530046.243198</v>
      </c>
      <c r="AC187" s="716">
        <v>24028762167.795692</v>
      </c>
      <c r="AD187" s="716">
        <v>25791110203.364761</v>
      </c>
      <c r="AE187" s="716">
        <v>28008205749.605457</v>
      </c>
      <c r="AF187" s="716">
        <v>28731202856.70808</v>
      </c>
      <c r="AG187" s="716">
        <v>31164067816.295631</v>
      </c>
    </row>
    <row r="188" spans="1:33">
      <c r="A188" s="22">
        <v>2</v>
      </c>
      <c r="B188" s="22" t="s">
        <v>0</v>
      </c>
      <c r="C188" s="715">
        <v>5142142826000.001</v>
      </c>
      <c r="D188" s="715">
        <v>5272883534000.001</v>
      </c>
      <c r="E188" s="715">
        <v>5168468243000.001</v>
      </c>
      <c r="F188" s="715">
        <v>5401851486000.001</v>
      </c>
      <c r="G188" s="715">
        <v>5790528098000</v>
      </c>
      <c r="H188" s="715">
        <v>6028609142000</v>
      </c>
      <c r="I188" s="715">
        <v>6235312417000.001</v>
      </c>
      <c r="J188" s="715">
        <v>6432708726000.001</v>
      </c>
      <c r="K188" s="715">
        <v>6696494723000</v>
      </c>
      <c r="L188" s="715">
        <v>6935196232000</v>
      </c>
      <c r="M188" s="715">
        <v>7063986909000</v>
      </c>
      <c r="N188" s="715">
        <v>7045461615000</v>
      </c>
      <c r="O188" s="715">
        <v>7285404053000</v>
      </c>
      <c r="P188" s="715">
        <v>7494677822999.999</v>
      </c>
      <c r="Q188" s="715">
        <v>7803048616999.999</v>
      </c>
      <c r="R188" s="715">
        <v>8001951767999.999</v>
      </c>
      <c r="S188" s="715">
        <v>8304827021000</v>
      </c>
      <c r="T188" s="715">
        <v>8679055676999.999</v>
      </c>
      <c r="U188" s="715">
        <v>9060995818000</v>
      </c>
      <c r="V188" s="715">
        <v>9502234627000</v>
      </c>
      <c r="W188" s="715">
        <v>9898800000000</v>
      </c>
      <c r="X188" s="715">
        <v>10007026710000</v>
      </c>
      <c r="Y188" s="715">
        <v>10189886430000</v>
      </c>
      <c r="Z188" s="715">
        <v>10444897290000</v>
      </c>
      <c r="AA188" s="715">
        <v>10819303220000</v>
      </c>
      <c r="AB188" s="715">
        <v>11150365280000</v>
      </c>
      <c r="AC188" s="715">
        <v>11448542729999.998</v>
      </c>
      <c r="AD188" s="715">
        <v>11670846254824.199</v>
      </c>
      <c r="AE188" s="715">
        <v>11668453035092.297</v>
      </c>
      <c r="AF188" s="715">
        <v>11357068556640.998</v>
      </c>
      <c r="AG188" s="715">
        <v>11681216873662.396</v>
      </c>
    </row>
    <row r="189" spans="1:33">
      <c r="A189" s="22">
        <v>704</v>
      </c>
      <c r="B189" s="22" t="s">
        <v>152</v>
      </c>
      <c r="C189" s="717"/>
      <c r="D189" s="717"/>
      <c r="E189" s="717"/>
      <c r="F189" s="717"/>
      <c r="G189" s="717"/>
      <c r="H189" s="717"/>
      <c r="I189" s="717"/>
      <c r="J189" s="717">
        <v>12285308446.047314</v>
      </c>
      <c r="K189" s="717">
        <v>13408011465.870218</v>
      </c>
      <c r="L189" s="717">
        <v>13822492516.5271</v>
      </c>
      <c r="M189" s="717">
        <v>14043652396.791527</v>
      </c>
      <c r="N189" s="717">
        <v>13974557626.999292</v>
      </c>
      <c r="O189" s="717">
        <v>12409407172.775402</v>
      </c>
      <c r="P189" s="717">
        <v>12123990807.801573</v>
      </c>
      <c r="Q189" s="717">
        <v>11493543285.795883</v>
      </c>
      <c r="R189" s="717">
        <v>11390101396.223728</v>
      </c>
      <c r="S189" s="717">
        <v>11583733119.95953</v>
      </c>
      <c r="T189" s="717">
        <v>12186087242.197424</v>
      </c>
      <c r="U189" s="717">
        <v>12710088993.611912</v>
      </c>
      <c r="V189" s="717">
        <v>13256622820.337223</v>
      </c>
      <c r="W189" s="717">
        <v>13760374487.510038</v>
      </c>
      <c r="X189" s="717">
        <v>14338310215.985495</v>
      </c>
      <c r="Y189" s="717">
        <v>14911842624.62488</v>
      </c>
      <c r="Z189" s="717">
        <v>15538140014.859179</v>
      </c>
      <c r="AA189" s="717">
        <v>16734576796.003244</v>
      </c>
      <c r="AB189" s="717">
        <v>17905997171.723518</v>
      </c>
      <c r="AC189" s="717">
        <v>19213134965.2593</v>
      </c>
      <c r="AD189" s="717">
        <v>21038382786.958961</v>
      </c>
      <c r="AE189" s="717">
        <v>22931837237.785267</v>
      </c>
      <c r="AF189" s="717">
        <v>24789316054.045872</v>
      </c>
      <c r="AG189" s="717">
        <v>26896407918.639771</v>
      </c>
    </row>
    <row r="190" spans="1:33">
      <c r="A190" s="22">
        <v>935</v>
      </c>
      <c r="B190" s="22" t="s">
        <v>180</v>
      </c>
      <c r="C190" s="718">
        <v>52974534.623491347</v>
      </c>
      <c r="D190" s="718">
        <v>55199281.36794436</v>
      </c>
      <c r="E190" s="718">
        <v>61105669.069531128</v>
      </c>
      <c r="F190" s="718">
        <v>69558474.139834568</v>
      </c>
      <c r="G190" s="718">
        <v>76226375.023749992</v>
      </c>
      <c r="H190" s="718">
        <v>76976434.417746201</v>
      </c>
      <c r="I190" s="718">
        <v>76874731.449068755</v>
      </c>
      <c r="J190" s="718">
        <v>74649979.009249493</v>
      </c>
      <c r="K190" s="718">
        <v>73372335.465239003</v>
      </c>
      <c r="L190" s="718">
        <v>74497424.556233302</v>
      </c>
      <c r="M190" s="718">
        <v>83218454.120324776</v>
      </c>
      <c r="N190" s="718">
        <v>85830949.128226817</v>
      </c>
      <c r="O190" s="718">
        <v>88055701.568046078</v>
      </c>
      <c r="P190" s="718">
        <v>88716770.864449516</v>
      </c>
      <c r="Q190" s="718">
        <v>96751305.389968187</v>
      </c>
      <c r="R190" s="718">
        <v>97730196.463488668</v>
      </c>
      <c r="S190" s="718">
        <v>100005800.38764666</v>
      </c>
      <c r="T190" s="718">
        <v>104919325.06187603</v>
      </c>
      <c r="U190" s="718">
        <v>264217956.18847698</v>
      </c>
      <c r="V190" s="718">
        <v>265355758.150556</v>
      </c>
      <c r="W190" s="718">
        <v>280776470.77627462</v>
      </c>
      <c r="X190" s="718">
        <v>271438866.96457607</v>
      </c>
      <c r="Y190" s="718">
        <v>260009995.85944745</v>
      </c>
      <c r="Z190" s="718">
        <v>269563718.47958559</v>
      </c>
      <c r="AA190" s="718">
        <v>281418470.76605105</v>
      </c>
      <c r="AB190" s="718">
        <v>295866648.75379157</v>
      </c>
      <c r="AC190" s="718">
        <v>317135282.07846361</v>
      </c>
      <c r="AD190" s="718">
        <v>338511974.80735546</v>
      </c>
      <c r="AE190" s="718">
        <v>359964944.76275539</v>
      </c>
      <c r="AF190" s="718">
        <v>372563717.8294518</v>
      </c>
      <c r="AG190" s="718">
        <v>383740629.36433536</v>
      </c>
    </row>
    <row r="191" spans="1:33">
      <c r="A191" s="22">
        <v>101</v>
      </c>
      <c r="B191" s="22" t="s">
        <v>24</v>
      </c>
      <c r="C191" s="719">
        <v>87831090370.217743</v>
      </c>
      <c r="D191" s="719">
        <v>87512429634.73761</v>
      </c>
      <c r="E191" s="719">
        <v>85700041807.052917</v>
      </c>
      <c r="F191" s="719">
        <v>82473592071.033707</v>
      </c>
      <c r="G191" s="719">
        <v>83662996973.90419</v>
      </c>
      <c r="H191" s="719">
        <v>83824717711.165436</v>
      </c>
      <c r="I191" s="719">
        <v>89281995939.854675</v>
      </c>
      <c r="J191" s="719">
        <v>92479764606.685623</v>
      </c>
      <c r="K191" s="719">
        <v>97863352351.647446</v>
      </c>
      <c r="L191" s="719">
        <v>89476578649.588974</v>
      </c>
      <c r="M191" s="719">
        <v>95263870747.295334</v>
      </c>
      <c r="N191" s="719">
        <v>104532938619.3875</v>
      </c>
      <c r="O191" s="719">
        <v>110868129421.7807</v>
      </c>
      <c r="P191" s="719">
        <v>111173447020.57565</v>
      </c>
      <c r="Q191" s="719">
        <v>108561418117.64293</v>
      </c>
      <c r="R191" s="719">
        <v>112851399251.39594</v>
      </c>
      <c r="S191" s="719">
        <v>112628137002.04881</v>
      </c>
      <c r="T191" s="719">
        <v>119803598482.40413</v>
      </c>
      <c r="U191" s="719">
        <v>120155887146.22972</v>
      </c>
      <c r="V191" s="719">
        <v>112982030193.71645</v>
      </c>
      <c r="W191" s="719">
        <v>117147614565.56268</v>
      </c>
      <c r="X191" s="719">
        <v>121123881198.5625</v>
      </c>
      <c r="Y191" s="719">
        <v>110397577419.51128</v>
      </c>
      <c r="Z191" s="719">
        <v>101835914043.14001</v>
      </c>
      <c r="AA191" s="719">
        <v>120458247112.48389</v>
      </c>
      <c r="AB191" s="719">
        <v>132887025219.73854</v>
      </c>
      <c r="AC191" s="719">
        <v>146005830495.29492</v>
      </c>
      <c r="AD191" s="719">
        <v>157908086493.46304</v>
      </c>
      <c r="AE191" s="719">
        <v>165458790859.32819</v>
      </c>
      <c r="AF191" s="719">
        <v>160019559117.16159</v>
      </c>
      <c r="AG191" s="719">
        <v>156970286735.2966</v>
      </c>
    </row>
    <row r="192" spans="1:33">
      <c r="A192" s="22">
        <v>990</v>
      </c>
      <c r="B192" s="22" t="s">
        <v>190</v>
      </c>
      <c r="C192" s="677"/>
      <c r="D192" s="677"/>
      <c r="E192" s="677">
        <v>175593116.04924101</v>
      </c>
      <c r="F192" s="677">
        <v>176349982.98128825</v>
      </c>
      <c r="G192" s="677">
        <v>178620583.77742994</v>
      </c>
      <c r="H192" s="677">
        <v>185621605.94529548</v>
      </c>
      <c r="I192" s="677">
        <v>195839303.43507558</v>
      </c>
      <c r="J192" s="677">
        <v>196785390.14656332</v>
      </c>
      <c r="K192" s="677">
        <v>193947142.19781491</v>
      </c>
      <c r="L192" s="677">
        <v>201137371.95940611</v>
      </c>
      <c r="M192" s="677">
        <v>192244188.55427995</v>
      </c>
      <c r="N192" s="677">
        <v>187822577.56706032</v>
      </c>
      <c r="O192" s="677">
        <v>187446928.53686887</v>
      </c>
      <c r="P192" s="677">
        <v>195132251.70513761</v>
      </c>
      <c r="Q192" s="677">
        <v>190171788.40938762</v>
      </c>
      <c r="R192" s="677">
        <v>202640783.93293554</v>
      </c>
      <c r="S192" s="677">
        <v>217381536.90019169</v>
      </c>
      <c r="T192" s="677">
        <v>219128135.90114805</v>
      </c>
      <c r="U192" s="677">
        <v>224375383.72622761</v>
      </c>
      <c r="V192" s="677">
        <v>229494645.87234592</v>
      </c>
      <c r="W192" s="677">
        <v>245617502.95131129</v>
      </c>
      <c r="X192" s="677">
        <v>263035595.62329963</v>
      </c>
      <c r="Y192" s="677">
        <v>274630824.869932</v>
      </c>
      <c r="Z192" s="677">
        <v>287713853.51901305</v>
      </c>
      <c r="AA192" s="677">
        <v>301501274.72307181</v>
      </c>
      <c r="AB192" s="677">
        <v>314000699.04182577</v>
      </c>
      <c r="AC192" s="677">
        <v>320757136.29160559</v>
      </c>
      <c r="AD192" s="677">
        <v>328030312.96163809</v>
      </c>
      <c r="AE192" s="677">
        <v>344399274.33437729</v>
      </c>
      <c r="AF192" s="677">
        <v>325339385.49767458</v>
      </c>
      <c r="AG192" s="677">
        <v>328592779.35265136</v>
      </c>
    </row>
    <row r="193" spans="1:33">
      <c r="A193" s="22">
        <v>679</v>
      </c>
      <c r="B193" s="22" t="s">
        <v>142</v>
      </c>
      <c r="C193" s="721"/>
      <c r="D193" s="721"/>
      <c r="E193" s="721"/>
      <c r="F193" s="721"/>
      <c r="G193" s="721"/>
      <c r="H193" s="721"/>
      <c r="I193" s="721"/>
      <c r="J193" s="721"/>
      <c r="K193" s="721"/>
      <c r="L193" s="721"/>
      <c r="M193" s="721">
        <v>5508255714.5900164</v>
      </c>
      <c r="N193" s="721">
        <v>5616688487.3126631</v>
      </c>
      <c r="O193" s="721">
        <v>6084081879.7507868</v>
      </c>
      <c r="P193" s="721">
        <v>6331604909.4363089</v>
      </c>
      <c r="Q193" s="721">
        <v>6468604315.842597</v>
      </c>
      <c r="R193" s="721">
        <v>7221972624.835866</v>
      </c>
      <c r="S193" s="721">
        <v>7658317189.737298</v>
      </c>
      <c r="T193" s="721">
        <v>8267369363.9646797</v>
      </c>
      <c r="U193" s="721">
        <v>8802348136.1156673</v>
      </c>
      <c r="V193" s="721">
        <v>9043556853.306776</v>
      </c>
      <c r="W193" s="721">
        <v>9441473354.8522739</v>
      </c>
      <c r="X193" s="721">
        <v>9875781129.175478</v>
      </c>
      <c r="Y193" s="721">
        <v>10260936593.213322</v>
      </c>
      <c r="Z193" s="721">
        <v>10579025627.602945</v>
      </c>
      <c r="AA193" s="721">
        <v>10999319736.761976</v>
      </c>
      <c r="AB193" s="721">
        <v>11614291703.244339</v>
      </c>
      <c r="AC193" s="721">
        <v>11985948669.899336</v>
      </c>
      <c r="AD193" s="721">
        <v>12381484976.016115</v>
      </c>
      <c r="AE193" s="721">
        <v>12833037733.091423</v>
      </c>
      <c r="AF193" s="721">
        <v>13315046630.346334</v>
      </c>
      <c r="AG193" s="721"/>
    </row>
    <row r="194" spans="1:33">
      <c r="A194" s="22">
        <v>345</v>
      </c>
      <c r="B194" s="22" t="s">
        <v>59</v>
      </c>
      <c r="C194" s="682"/>
      <c r="D194" s="682"/>
      <c r="E194" s="682"/>
      <c r="F194" s="682"/>
      <c r="G194" s="682"/>
      <c r="H194" s="682"/>
      <c r="I194" s="682"/>
      <c r="J194" s="682"/>
      <c r="K194" s="682"/>
      <c r="L194" s="682">
        <v>11912690646.164845</v>
      </c>
      <c r="M194" s="682">
        <v>10959675394.471704</v>
      </c>
      <c r="N194" s="682">
        <v>9887533236.3168564</v>
      </c>
      <c r="O194" s="682">
        <v>7202030382.0085554</v>
      </c>
      <c r="P194" s="682">
        <v>5004800773.9381514</v>
      </c>
      <c r="Q194" s="682">
        <v>5129920793.2866068</v>
      </c>
      <c r="R194" s="682">
        <v>5442845961.6770859</v>
      </c>
      <c r="S194" s="682">
        <v>5867387946.6878967</v>
      </c>
      <c r="T194" s="682">
        <v>6459994129.3033791</v>
      </c>
      <c r="U194" s="682">
        <v>6505214088.208498</v>
      </c>
      <c r="V194" s="682">
        <v>5776630110.3291473</v>
      </c>
      <c r="W194" s="682">
        <v>6082791506.1765919</v>
      </c>
      <c r="X194" s="682">
        <v>6423427830.52248</v>
      </c>
      <c r="Y194" s="682">
        <v>6673941515.912859</v>
      </c>
      <c r="Z194" s="682">
        <v>6834116112.2947674</v>
      </c>
      <c r="AA194" s="682">
        <v>7401347749.6152344</v>
      </c>
      <c r="AB194" s="682">
        <v>7815823223.5937109</v>
      </c>
      <c r="AC194" s="682">
        <v>8224706066.7408895</v>
      </c>
      <c r="AD194" s="682">
        <v>8792219120.0495853</v>
      </c>
      <c r="AE194" s="682">
        <v>9277369524.4149628</v>
      </c>
      <c r="AF194" s="682">
        <v>8987609953.2355423</v>
      </c>
      <c r="AG194" s="682">
        <v>9145935034.7730942</v>
      </c>
    </row>
    <row r="195" spans="1:33">
      <c r="A195" s="22">
        <v>551</v>
      </c>
      <c r="B195" s="22" t="s">
        <v>116</v>
      </c>
      <c r="C195" s="722">
        <v>2729759075.1930752</v>
      </c>
      <c r="D195" s="722">
        <v>2898129461.462296</v>
      </c>
      <c r="E195" s="722">
        <v>2816611374.6869092</v>
      </c>
      <c r="F195" s="722">
        <v>2761217379.0357127</v>
      </c>
      <c r="G195" s="722">
        <v>2751916639.4906564</v>
      </c>
      <c r="H195" s="722">
        <v>2796368638.563695</v>
      </c>
      <c r="I195" s="722">
        <v>2816611374.6869092</v>
      </c>
      <c r="J195" s="722">
        <v>2891974365.5055661</v>
      </c>
      <c r="K195" s="722">
        <v>3073612018.1464524</v>
      </c>
      <c r="L195" s="722">
        <v>3042153544.489327</v>
      </c>
      <c r="M195" s="722">
        <v>3027518592.2258239</v>
      </c>
      <c r="N195" s="722">
        <v>3026424647.289741</v>
      </c>
      <c r="O195" s="722">
        <v>2974039594.5634828</v>
      </c>
      <c r="P195" s="722">
        <v>3176193214.8398714</v>
      </c>
      <c r="Q195" s="722">
        <v>2902232519.1378055</v>
      </c>
      <c r="R195" s="722">
        <v>2820351878.4290848</v>
      </c>
      <c r="S195" s="722">
        <v>3016243929.0643401</v>
      </c>
      <c r="T195" s="722">
        <v>3115744351.3041086</v>
      </c>
      <c r="U195" s="722">
        <v>3057831836.9712849</v>
      </c>
      <c r="V195" s="722">
        <v>3125850011.5255127</v>
      </c>
      <c r="W195" s="722">
        <v>3237716324.8310294</v>
      </c>
      <c r="X195" s="722">
        <v>3396364424.7477498</v>
      </c>
      <c r="Y195" s="722">
        <v>3508444450.7644253</v>
      </c>
      <c r="Z195" s="722">
        <v>3687375117.7534108</v>
      </c>
      <c r="AA195" s="722">
        <v>3885776053.157186</v>
      </c>
      <c r="AB195" s="722">
        <v>4093330085.1684742</v>
      </c>
      <c r="AC195" s="722">
        <v>4348147615.2857304</v>
      </c>
      <c r="AD195" s="722">
        <v>4617450196.3559389</v>
      </c>
      <c r="AE195" s="722">
        <v>4879795903.2431059</v>
      </c>
      <c r="AF195" s="722">
        <v>5192250555.002203</v>
      </c>
      <c r="AG195" s="722">
        <v>5587389858.0704317</v>
      </c>
    </row>
    <row r="196" spans="1:33">
      <c r="A196" s="22">
        <v>552</v>
      </c>
      <c r="B196" s="22" t="s">
        <v>117</v>
      </c>
      <c r="C196" s="723">
        <v>3699040798.5461106</v>
      </c>
      <c r="D196" s="723">
        <v>4162361401.9066315</v>
      </c>
      <c r="E196" s="723">
        <v>4272010374.6139112</v>
      </c>
      <c r="F196" s="723">
        <v>4339734764.0342245</v>
      </c>
      <c r="G196" s="723">
        <v>4256960419.9163103</v>
      </c>
      <c r="H196" s="723">
        <v>4552580249.8156195</v>
      </c>
      <c r="I196" s="723">
        <v>4648140208.9918299</v>
      </c>
      <c r="J196" s="723">
        <v>4701628081.4965944</v>
      </c>
      <c r="K196" s="723">
        <v>5056712653.57726</v>
      </c>
      <c r="L196" s="723">
        <v>5319649909.1233521</v>
      </c>
      <c r="M196" s="723">
        <v>5691416463.2383423</v>
      </c>
      <c r="N196" s="723">
        <v>6006253218.4467783</v>
      </c>
      <c r="O196" s="723">
        <v>5464755279.020647</v>
      </c>
      <c r="P196" s="723">
        <v>5522214897.0692444</v>
      </c>
      <c r="Q196" s="723">
        <v>6032202425.9860954</v>
      </c>
      <c r="R196" s="723">
        <v>6041734832.2080374</v>
      </c>
      <c r="S196" s="723">
        <v>6667700693.2143154</v>
      </c>
      <c r="T196" s="723">
        <v>6846434665.6053543</v>
      </c>
      <c r="U196" s="723">
        <v>7043968812.0151815</v>
      </c>
      <c r="V196" s="723">
        <v>6790386090.9626904</v>
      </c>
      <c r="W196" s="723">
        <v>6606515168.8252773</v>
      </c>
      <c r="X196" s="723">
        <v>6782148451.8523874</v>
      </c>
      <c r="Y196" s="723">
        <v>6119385053.1911058</v>
      </c>
      <c r="Z196" s="723">
        <v>5069094949.7643108</v>
      </c>
      <c r="AA196" s="723">
        <v>4720321797.628931</v>
      </c>
      <c r="AB196" s="723">
        <v>4431487581.3843327</v>
      </c>
      <c r="AC196" s="723">
        <v>4283810964.4158044</v>
      </c>
      <c r="AD196" s="723">
        <v>4292537493.6467385</v>
      </c>
      <c r="AE196" s="723">
        <v>3532758357.2712655</v>
      </c>
      <c r="AF196" s="723">
        <v>3744723858.7075415</v>
      </c>
      <c r="AG196" s="723">
        <v>4081749005.9912205</v>
      </c>
    </row>
  </sheetData>
  <sortState ref="A6:AF192">
    <sortCondition ref="B6:B19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6"/>
  <sheetViews>
    <sheetView workbookViewId="0">
      <selection activeCell="E208" sqref="E208"/>
    </sheetView>
  </sheetViews>
  <sheetFormatPr defaultRowHeight="15"/>
  <cols>
    <col min="1" max="2" width="9.140625" style="26"/>
    <col min="3" max="13" width="9.140625" style="534"/>
    <col min="14" max="23" width="16.7109375" bestFit="1" customWidth="1"/>
    <col min="24" max="32" width="17.85546875" bestFit="1" customWidth="1"/>
  </cols>
  <sheetData>
    <row r="1" spans="1:48">
      <c r="A1" s="12" t="s">
        <v>422</v>
      </c>
    </row>
    <row r="2" spans="1:48">
      <c r="A2" s="1" t="s">
        <v>423</v>
      </c>
    </row>
    <row r="3" spans="1:48">
      <c r="A3" s="171" t="s">
        <v>439</v>
      </c>
    </row>
    <row r="5" spans="1:48" s="26" customFormat="1">
      <c r="A5" s="22" t="s">
        <v>191</v>
      </c>
      <c r="B5" s="22" t="s">
        <v>192</v>
      </c>
      <c r="C5" s="22">
        <v>1980</v>
      </c>
      <c r="D5" s="11">
        <v>1981</v>
      </c>
      <c r="E5" s="22">
        <v>1982</v>
      </c>
      <c r="F5" s="11">
        <v>1983</v>
      </c>
      <c r="G5" s="22">
        <v>1984</v>
      </c>
      <c r="H5" s="11">
        <v>1985</v>
      </c>
      <c r="I5" s="22">
        <v>1986</v>
      </c>
      <c r="J5" s="11">
        <v>1987</v>
      </c>
      <c r="K5" s="22">
        <v>1988</v>
      </c>
      <c r="L5" s="11">
        <v>1989</v>
      </c>
      <c r="M5" s="22">
        <v>1990</v>
      </c>
      <c r="N5" s="11">
        <v>1991</v>
      </c>
      <c r="O5" s="11">
        <v>1992</v>
      </c>
      <c r="P5" s="11">
        <v>1993</v>
      </c>
      <c r="Q5" s="11">
        <v>1994</v>
      </c>
      <c r="R5" s="11">
        <v>1995</v>
      </c>
      <c r="S5" s="11">
        <v>1996</v>
      </c>
      <c r="T5" s="11">
        <v>1997</v>
      </c>
      <c r="U5" s="11">
        <v>1998</v>
      </c>
      <c r="V5" s="11">
        <v>1999</v>
      </c>
      <c r="W5" s="11">
        <v>2000</v>
      </c>
      <c r="X5" s="11">
        <v>2001</v>
      </c>
      <c r="Y5" s="11">
        <v>2002</v>
      </c>
      <c r="Z5" s="11">
        <v>2003</v>
      </c>
      <c r="AA5" s="11">
        <v>2004</v>
      </c>
      <c r="AB5" s="11">
        <v>2005</v>
      </c>
      <c r="AC5" s="11">
        <v>2006</v>
      </c>
      <c r="AD5" s="11">
        <v>2007</v>
      </c>
      <c r="AE5" s="11">
        <v>2008</v>
      </c>
      <c r="AF5" s="11">
        <v>2009</v>
      </c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</row>
    <row r="6" spans="1:48">
      <c r="A6" s="28">
        <v>58</v>
      </c>
      <c r="B6" s="28" t="s">
        <v>13</v>
      </c>
      <c r="C6" s="729">
        <v>110066664.72281925</v>
      </c>
      <c r="D6" s="729">
        <v>124462954.83894198</v>
      </c>
      <c r="E6" s="729">
        <v>137951855.34146014</v>
      </c>
      <c r="F6" s="729">
        <v>153270373.58944386</v>
      </c>
      <c r="G6" s="729">
        <v>173511108.04679441</v>
      </c>
      <c r="H6" s="729">
        <v>201862965.32386035</v>
      </c>
      <c r="I6" s="729">
        <v>245896291.95361117</v>
      </c>
      <c r="J6" s="729">
        <v>286474069.01475954</v>
      </c>
      <c r="K6" s="729">
        <v>338696290.31470406</v>
      </c>
      <c r="L6" s="729">
        <v>373403703.0350824</v>
      </c>
      <c r="M6" s="729">
        <v>391570363.45498836</v>
      </c>
      <c r="N6" s="729">
        <v>410388899.41893733</v>
      </c>
      <c r="O6" s="729">
        <v>423762955.47903925</v>
      </c>
      <c r="P6" s="729">
        <v>456537023.0483765</v>
      </c>
      <c r="Q6" s="729">
        <v>500088880.0570007</v>
      </c>
      <c r="R6" s="729">
        <v>494185188.30941182</v>
      </c>
      <c r="S6" s="729">
        <v>541074082.29613888</v>
      </c>
      <c r="T6" s="729">
        <v>579851829.75944734</v>
      </c>
      <c r="U6" s="729">
        <v>620037014.23493659</v>
      </c>
      <c r="V6" s="729">
        <v>651851840.33973312</v>
      </c>
      <c r="W6" s="729">
        <v>664174062.34433711</v>
      </c>
      <c r="X6" s="729">
        <v>696251839.55560088</v>
      </c>
      <c r="Y6" s="729">
        <v>713533320.73188043</v>
      </c>
      <c r="Z6" s="729">
        <v>753107394.10705113</v>
      </c>
      <c r="AA6" s="729">
        <v>815396281.89587855</v>
      </c>
      <c r="AB6" s="729">
        <v>866818503.20995164</v>
      </c>
      <c r="AC6" s="729">
        <v>1010881463.6286709</v>
      </c>
      <c r="AD6" s="729">
        <v>1155366646.2621558</v>
      </c>
      <c r="AE6" s="729">
        <v>1203314814.8148148</v>
      </c>
      <c r="AF6" s="729">
        <v>1097688888.8888888</v>
      </c>
      <c r="AG6" s="729">
        <v>1014981481.4814814</v>
      </c>
    </row>
    <row r="7" spans="1:48">
      <c r="A7" s="22">
        <v>700</v>
      </c>
      <c r="B7" s="22" t="s">
        <v>148</v>
      </c>
      <c r="C7" s="724">
        <v>3641723447.1843305</v>
      </c>
      <c r="D7" s="724">
        <v>3478787909.818182</v>
      </c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>
        <v>2461666314.7836623</v>
      </c>
      <c r="Y7" s="724">
        <v>4338907578.6625404</v>
      </c>
      <c r="Z7" s="724">
        <v>4766127271.5812521</v>
      </c>
      <c r="AA7" s="724">
        <v>5704202650.6382122</v>
      </c>
      <c r="AB7" s="724">
        <v>6814753580.5414925</v>
      </c>
      <c r="AC7" s="724">
        <v>7721931671.4209518</v>
      </c>
      <c r="AD7" s="724">
        <v>9739337182.8816586</v>
      </c>
      <c r="AE7" s="724">
        <v>11757405532.512484</v>
      </c>
      <c r="AF7" s="724"/>
      <c r="AG7" s="724"/>
    </row>
    <row r="8" spans="1:48">
      <c r="A8" s="22">
        <v>339</v>
      </c>
      <c r="B8" s="22" t="s">
        <v>56</v>
      </c>
      <c r="C8" s="725"/>
      <c r="D8" s="725"/>
      <c r="E8" s="725"/>
      <c r="F8" s="725"/>
      <c r="G8" s="725">
        <v>1924242456.2713356</v>
      </c>
      <c r="H8" s="725">
        <v>1965384580.6464982</v>
      </c>
      <c r="I8" s="725">
        <v>2173750016</v>
      </c>
      <c r="J8" s="725">
        <v>2156624896</v>
      </c>
      <c r="K8" s="725">
        <v>2126000000</v>
      </c>
      <c r="L8" s="725">
        <v>2335124992</v>
      </c>
      <c r="M8" s="725">
        <v>2101624960</v>
      </c>
      <c r="N8" s="725">
        <v>1139166679.066498</v>
      </c>
      <c r="O8" s="725">
        <v>709452572.65810215</v>
      </c>
      <c r="P8" s="725">
        <v>1228071037.4133496</v>
      </c>
      <c r="Q8" s="725">
        <v>1985673025.8946106</v>
      </c>
      <c r="R8" s="725">
        <v>2424498952.8812685</v>
      </c>
      <c r="S8" s="725">
        <v>3013217852.5736566</v>
      </c>
      <c r="T8" s="725">
        <v>2196223713.8104978</v>
      </c>
      <c r="U8" s="725">
        <v>2727745453.0828261</v>
      </c>
      <c r="V8" s="725">
        <v>3434402453.4105721</v>
      </c>
      <c r="W8" s="725">
        <v>3686649387.0340533</v>
      </c>
      <c r="X8" s="725">
        <v>4091020249.36656</v>
      </c>
      <c r="Y8" s="725">
        <v>4449373455.5663157</v>
      </c>
      <c r="Z8" s="725">
        <v>5652325081.5996313</v>
      </c>
      <c r="AA8" s="725">
        <v>7464446950.0255938</v>
      </c>
      <c r="AB8" s="725">
        <v>8376483740.482892</v>
      </c>
      <c r="AC8" s="725">
        <v>9132562332.4302425</v>
      </c>
      <c r="AD8" s="725">
        <v>10704660840.293762</v>
      </c>
      <c r="AE8" s="725">
        <v>12968653524.779903</v>
      </c>
      <c r="AF8" s="725">
        <v>12044881925.412283</v>
      </c>
      <c r="AG8" s="725">
        <v>11786099137.931034</v>
      </c>
    </row>
    <row r="9" spans="1:48">
      <c r="A9" s="22">
        <v>615</v>
      </c>
      <c r="B9" s="22" t="s">
        <v>129</v>
      </c>
      <c r="C9" s="726">
        <v>42345276287.593445</v>
      </c>
      <c r="D9" s="726">
        <v>44348670724.083107</v>
      </c>
      <c r="E9" s="726">
        <v>45207090667.867424</v>
      </c>
      <c r="F9" s="726">
        <v>48801372227.552849</v>
      </c>
      <c r="G9" s="726">
        <v>53698280322.58239</v>
      </c>
      <c r="H9" s="726">
        <v>57937867717.463646</v>
      </c>
      <c r="I9" s="726">
        <v>63696299985.040878</v>
      </c>
      <c r="J9" s="726">
        <v>66742269089.698692</v>
      </c>
      <c r="K9" s="726">
        <v>59089065516.869194</v>
      </c>
      <c r="L9" s="726">
        <v>55631488293.897583</v>
      </c>
      <c r="M9" s="726">
        <v>62045098370.082947</v>
      </c>
      <c r="N9" s="726">
        <v>45715368143.978386</v>
      </c>
      <c r="O9" s="726">
        <v>48003297248.869102</v>
      </c>
      <c r="P9" s="726">
        <v>49946456681.238373</v>
      </c>
      <c r="Q9" s="726">
        <v>42542573602.166908</v>
      </c>
      <c r="R9" s="726">
        <v>41764054034.65432</v>
      </c>
      <c r="S9" s="726">
        <v>46941496308.28447</v>
      </c>
      <c r="T9" s="726">
        <v>48177861890.888084</v>
      </c>
      <c r="U9" s="726">
        <v>48187780126.181854</v>
      </c>
      <c r="V9" s="726">
        <v>48640613515.070229</v>
      </c>
      <c r="W9" s="726">
        <v>54790058957.371849</v>
      </c>
      <c r="X9" s="726">
        <v>55180990395.736885</v>
      </c>
      <c r="Y9" s="726">
        <v>57053038888.244942</v>
      </c>
      <c r="Z9" s="726">
        <v>68018606041.397293</v>
      </c>
      <c r="AA9" s="726">
        <v>85013944727.955048</v>
      </c>
      <c r="AB9" s="726">
        <v>102339100115.4467</v>
      </c>
      <c r="AC9" s="726">
        <v>117169320524.24352</v>
      </c>
      <c r="AD9" s="726">
        <v>135803556324.9203</v>
      </c>
      <c r="AE9" s="726">
        <v>170989269622.03677</v>
      </c>
      <c r="AF9" s="726">
        <v>140576526509.69757</v>
      </c>
      <c r="AG9" s="726">
        <v>159425577393.59558</v>
      </c>
    </row>
    <row r="10" spans="1:48" s="534" customFormat="1">
      <c r="A10" s="22">
        <v>232</v>
      </c>
      <c r="B10" s="22" t="s">
        <v>45</v>
      </c>
      <c r="C10" s="727">
        <v>446377494.88049608</v>
      </c>
      <c r="D10" s="727">
        <v>388983013.89749461</v>
      </c>
      <c r="E10" s="727">
        <v>375914742.91814131</v>
      </c>
      <c r="F10" s="727">
        <v>327849949.00320977</v>
      </c>
      <c r="G10" s="727">
        <v>330073024.9372921</v>
      </c>
      <c r="H10" s="727">
        <v>346742901.74338305</v>
      </c>
      <c r="I10" s="727">
        <v>481996232.88586432</v>
      </c>
      <c r="J10" s="727">
        <v>611300198.45911968</v>
      </c>
      <c r="K10" s="727">
        <v>721426027.47538555</v>
      </c>
      <c r="L10" s="727">
        <v>795489397.96406937</v>
      </c>
      <c r="M10" s="727">
        <v>1028989439.4071459</v>
      </c>
      <c r="N10" s="727">
        <v>1106890942.9884675</v>
      </c>
      <c r="O10" s="727">
        <v>1209992604.2881737</v>
      </c>
      <c r="P10" s="727">
        <v>1007090896.4373499</v>
      </c>
      <c r="Q10" s="727">
        <v>1017544619.0931627</v>
      </c>
      <c r="R10" s="727">
        <v>1178745261.8282611</v>
      </c>
      <c r="S10" s="727">
        <v>1224023469.6913595</v>
      </c>
      <c r="T10" s="727">
        <v>1180646037.0127389</v>
      </c>
      <c r="U10" s="727">
        <v>1211953953.5615525</v>
      </c>
      <c r="V10" s="727">
        <v>1239840265.6334488</v>
      </c>
      <c r="W10" s="727">
        <v>1133644294.5424957</v>
      </c>
      <c r="X10" s="727">
        <v>1264760246.4407477</v>
      </c>
      <c r="Y10" s="727">
        <v>1456198796.2938228</v>
      </c>
      <c r="Z10" s="727">
        <v>1917948475.275125</v>
      </c>
      <c r="AA10" s="727">
        <v>2322163502.262949</v>
      </c>
      <c r="AB10" s="727">
        <v>2539759285.9274735</v>
      </c>
      <c r="AC10" s="727">
        <v>2823503852.6232829</v>
      </c>
      <c r="AD10" s="727">
        <v>3245411583.7196965</v>
      </c>
      <c r="AE10" s="727">
        <v>3712034266.5067363</v>
      </c>
      <c r="AF10" s="727"/>
      <c r="AG10" s="727"/>
    </row>
    <row r="11" spans="1:48">
      <c r="A11" s="22">
        <v>540</v>
      </c>
      <c r="B11" s="22" t="s">
        <v>114</v>
      </c>
      <c r="C11" s="728"/>
      <c r="D11" s="728"/>
      <c r="E11" s="728"/>
      <c r="F11" s="728"/>
      <c r="G11" s="728"/>
      <c r="H11" s="728">
        <v>6804278062.6266384</v>
      </c>
      <c r="I11" s="728">
        <v>6355849179.354579</v>
      </c>
      <c r="J11" s="728">
        <v>7383121653.6741314</v>
      </c>
      <c r="K11" s="728">
        <v>7975234067.3762703</v>
      </c>
      <c r="L11" s="728">
        <v>9283054576.2006016</v>
      </c>
      <c r="M11" s="728">
        <v>10260193360.680582</v>
      </c>
      <c r="N11" s="728">
        <v>12193746624.678879</v>
      </c>
      <c r="O11" s="728">
        <v>5779394291.7581959</v>
      </c>
      <c r="P11" s="728">
        <v>5285600050.3454971</v>
      </c>
      <c r="Q11" s="728">
        <v>4059577145.3630309</v>
      </c>
      <c r="R11" s="728">
        <v>5039534776.4902039</v>
      </c>
      <c r="S11" s="728">
        <v>7526446605.5171165</v>
      </c>
      <c r="T11" s="728">
        <v>7675412589.4552469</v>
      </c>
      <c r="U11" s="728">
        <v>6445192203.745533</v>
      </c>
      <c r="V11" s="728">
        <v>6154480286.7383509</v>
      </c>
      <c r="W11" s="728">
        <v>9129180360.5218601</v>
      </c>
      <c r="X11" s="728">
        <v>8936023211.5332298</v>
      </c>
      <c r="Y11" s="728">
        <v>11431738445.416124</v>
      </c>
      <c r="Z11" s="728">
        <v>13956268299.107849</v>
      </c>
      <c r="AA11" s="728">
        <v>19775218957.996155</v>
      </c>
      <c r="AB11" s="728">
        <v>30632364953.751816</v>
      </c>
      <c r="AC11" s="728">
        <v>45163239832.430153</v>
      </c>
      <c r="AD11" s="728">
        <v>60451594399.395088</v>
      </c>
      <c r="AE11" s="728">
        <v>84178512502.432236</v>
      </c>
      <c r="AF11" s="728">
        <v>75492890278.338028</v>
      </c>
      <c r="AG11" s="728">
        <v>84390572976.737091</v>
      </c>
    </row>
    <row r="12" spans="1:48">
      <c r="A12" s="22">
        <v>160</v>
      </c>
      <c r="B12" s="22" t="s">
        <v>33</v>
      </c>
      <c r="C12" s="730">
        <v>76961923741.946854</v>
      </c>
      <c r="D12" s="730">
        <v>78676842366.421326</v>
      </c>
      <c r="E12" s="730">
        <v>84307486836.724014</v>
      </c>
      <c r="F12" s="730">
        <v>103979106777.91101</v>
      </c>
      <c r="G12" s="730">
        <v>79092001998.032043</v>
      </c>
      <c r="H12" s="730">
        <v>88416668900.259598</v>
      </c>
      <c r="I12" s="730">
        <v>110934442762.69357</v>
      </c>
      <c r="J12" s="730">
        <v>111106191358.19745</v>
      </c>
      <c r="K12" s="730">
        <v>126206817196.09116</v>
      </c>
      <c r="L12" s="730">
        <v>76636898036.471176</v>
      </c>
      <c r="M12" s="730">
        <v>141352368714.69131</v>
      </c>
      <c r="N12" s="730">
        <v>189719989668.1026</v>
      </c>
      <c r="O12" s="730">
        <v>228779382768.15149</v>
      </c>
      <c r="P12" s="730">
        <v>236753563469.87149</v>
      </c>
      <c r="Q12" s="730">
        <v>257439956992</v>
      </c>
      <c r="R12" s="730">
        <v>258031878144</v>
      </c>
      <c r="S12" s="730">
        <v>272149757952</v>
      </c>
      <c r="T12" s="730">
        <v>292858888192</v>
      </c>
      <c r="U12" s="730">
        <v>298948362240</v>
      </c>
      <c r="V12" s="730">
        <v>283523022848</v>
      </c>
      <c r="W12" s="730">
        <v>284203745280</v>
      </c>
      <c r="X12" s="730">
        <v>268696715264</v>
      </c>
      <c r="Y12" s="730">
        <v>102040334258.5797</v>
      </c>
      <c r="Z12" s="730">
        <v>129597103033.80698</v>
      </c>
      <c r="AA12" s="730">
        <v>153129481873.14301</v>
      </c>
      <c r="AB12" s="730">
        <v>183193408940.74152</v>
      </c>
      <c r="AC12" s="730">
        <v>214066231199.56235</v>
      </c>
      <c r="AD12" s="730">
        <v>260768703249.4343</v>
      </c>
      <c r="AE12" s="730">
        <v>326676673164.78345</v>
      </c>
      <c r="AF12" s="730">
        <v>307081774895.42383</v>
      </c>
      <c r="AG12" s="730">
        <v>368711957357.53119</v>
      </c>
    </row>
    <row r="13" spans="1:48">
      <c r="A13" s="22">
        <v>371</v>
      </c>
      <c r="B13" s="22" t="s">
        <v>73</v>
      </c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1">
        <v>2256838858.4271407</v>
      </c>
      <c r="N13" s="731">
        <v>2068526521.9029896</v>
      </c>
      <c r="O13" s="731">
        <v>1272577521.7683005</v>
      </c>
      <c r="P13" s="731">
        <v>1201313196.4562566</v>
      </c>
      <c r="Q13" s="731">
        <v>1315158670.4797065</v>
      </c>
      <c r="R13" s="731">
        <v>1468317350.0234261</v>
      </c>
      <c r="S13" s="731">
        <v>1596968913.192023</v>
      </c>
      <c r="T13" s="731">
        <v>1639492424.3810267</v>
      </c>
      <c r="U13" s="731">
        <v>1893726437.3597622</v>
      </c>
      <c r="V13" s="731">
        <v>1845482181.4853873</v>
      </c>
      <c r="W13" s="731">
        <v>1911563665.3900604</v>
      </c>
      <c r="X13" s="731">
        <v>2118467913.3787341</v>
      </c>
      <c r="Y13" s="731">
        <v>2376335048.399756</v>
      </c>
      <c r="Z13" s="731">
        <v>2807061008.6908445</v>
      </c>
      <c r="AA13" s="731">
        <v>3576615240.4161587</v>
      </c>
      <c r="AB13" s="731">
        <v>4900436758.5046644</v>
      </c>
      <c r="AC13" s="731">
        <v>6384457744.447649</v>
      </c>
      <c r="AD13" s="731">
        <v>9206277478.9522915</v>
      </c>
      <c r="AE13" s="731">
        <v>11662017844.886753</v>
      </c>
      <c r="AF13" s="731">
        <v>8541111814.5782871</v>
      </c>
      <c r="AG13" s="731">
        <v>9264794733.1798954</v>
      </c>
    </row>
    <row r="14" spans="1:48">
      <c r="A14" s="22">
        <v>900</v>
      </c>
      <c r="B14" s="22" t="s">
        <v>177</v>
      </c>
      <c r="C14" s="732">
        <v>150783286908.078</v>
      </c>
      <c r="D14" s="732">
        <v>177999535585.74249</v>
      </c>
      <c r="E14" s="732">
        <v>195113097208.42987</v>
      </c>
      <c r="F14" s="732">
        <v>178190921853.06503</v>
      </c>
      <c r="G14" s="732">
        <v>194579786270.60315</v>
      </c>
      <c r="H14" s="732">
        <v>181694408222.75061</v>
      </c>
      <c r="I14" s="732">
        <v>183372971460.5484</v>
      </c>
      <c r="J14" s="732">
        <v>190433430386.44785</v>
      </c>
      <c r="K14" s="732">
        <v>238717258440.04654</v>
      </c>
      <c r="L14" s="732">
        <v>301853269277.74609</v>
      </c>
      <c r="M14" s="732">
        <v>314518661023.47052</v>
      </c>
      <c r="N14" s="732">
        <v>329965465819.00952</v>
      </c>
      <c r="O14" s="732">
        <v>328991771129.73926</v>
      </c>
      <c r="P14" s="732">
        <v>315553681843.73242</v>
      </c>
      <c r="Q14" s="732">
        <v>326529920442.75336</v>
      </c>
      <c r="R14" s="732">
        <v>371090733590.73358</v>
      </c>
      <c r="S14" s="732">
        <v>403660849772.38239</v>
      </c>
      <c r="T14" s="732">
        <v>437674127406.47986</v>
      </c>
      <c r="U14" s="732">
        <v>401216848673.94696</v>
      </c>
      <c r="V14" s="732">
        <v>390208672766.01074</v>
      </c>
      <c r="W14" s="732">
        <v>416923318470.13751</v>
      </c>
      <c r="X14" s="732">
        <v>380427712783.08472</v>
      </c>
      <c r="Y14" s="732">
        <v>397239430724.15234</v>
      </c>
      <c r="Z14" s="732">
        <v>468468841001.74719</v>
      </c>
      <c r="AA14" s="732">
        <v>615275999430.92908</v>
      </c>
      <c r="AB14" s="732">
        <v>696033679145.99304</v>
      </c>
      <c r="AC14" s="732">
        <v>749316412099.43103</v>
      </c>
      <c r="AD14" s="732">
        <v>856816361780.63904</v>
      </c>
      <c r="AE14" s="732">
        <v>1039415095376.8346</v>
      </c>
      <c r="AF14" s="732">
        <v>924843128520.74121</v>
      </c>
      <c r="AG14" s="732"/>
    </row>
    <row r="15" spans="1:48">
      <c r="A15" s="22">
        <v>305</v>
      </c>
      <c r="B15" s="22" t="s">
        <v>49</v>
      </c>
      <c r="C15" s="733">
        <v>81467464369.283127</v>
      </c>
      <c r="D15" s="733">
        <v>70500215137.376877</v>
      </c>
      <c r="E15" s="733">
        <v>70682448979.591843</v>
      </c>
      <c r="F15" s="733">
        <v>71496768040.447372</v>
      </c>
      <c r="G15" s="733">
        <v>67403442679.320541</v>
      </c>
      <c r="H15" s="733">
        <v>68781084729.981369</v>
      </c>
      <c r="I15" s="733">
        <v>98203625056.33168</v>
      </c>
      <c r="J15" s="733">
        <v>123083469743.14323</v>
      </c>
      <c r="K15" s="733">
        <v>132154359745.90439</v>
      </c>
      <c r="L15" s="733">
        <v>131914518980.75923</v>
      </c>
      <c r="M15" s="733">
        <v>164846797773.20584</v>
      </c>
      <c r="N15" s="733">
        <v>172166366529.16913</v>
      </c>
      <c r="O15" s="733">
        <v>193096520160.28049</v>
      </c>
      <c r="P15" s="733">
        <v>188288650183.36685</v>
      </c>
      <c r="Q15" s="733">
        <v>201192480424.04532</v>
      </c>
      <c r="R15" s="733">
        <v>238314109458.16843</v>
      </c>
      <c r="S15" s="733">
        <v>234143004938.91345</v>
      </c>
      <c r="T15" s="733">
        <v>206878199346.03674</v>
      </c>
      <c r="U15" s="733">
        <v>212150714762.11652</v>
      </c>
      <c r="V15" s="733">
        <v>210929628169.61432</v>
      </c>
      <c r="W15" s="733">
        <v>191200302192.74002</v>
      </c>
      <c r="X15" s="733">
        <v>190155281431.76733</v>
      </c>
      <c r="Y15" s="733">
        <v>205954943534.72614</v>
      </c>
      <c r="Z15" s="733">
        <v>252034237020.31601</v>
      </c>
      <c r="AA15" s="733">
        <v>289038861882.50049</v>
      </c>
      <c r="AB15" s="733">
        <v>302921137392.42902</v>
      </c>
      <c r="AC15" s="733">
        <v>322340100433.92572</v>
      </c>
      <c r="AD15" s="733">
        <v>372291309786.78906</v>
      </c>
      <c r="AE15" s="733">
        <v>414670756948.7677</v>
      </c>
      <c r="AF15" s="733">
        <v>381083737703.91602</v>
      </c>
      <c r="AG15" s="733">
        <v>376162107600</v>
      </c>
    </row>
    <row r="16" spans="1:48">
      <c r="A16" s="22">
        <v>373</v>
      </c>
      <c r="B16" s="22" t="s">
        <v>75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>
        <v>8858006035.915659</v>
      </c>
      <c r="N16" s="734">
        <v>8792365810.5094032</v>
      </c>
      <c r="O16" s="734">
        <v>4991350457.5425024</v>
      </c>
      <c r="P16" s="734">
        <v>3973027396.651947</v>
      </c>
      <c r="Q16" s="734">
        <v>3313739673.5473762</v>
      </c>
      <c r="R16" s="734">
        <v>3052467522.3610435</v>
      </c>
      <c r="S16" s="734">
        <v>3176749593.1178799</v>
      </c>
      <c r="T16" s="734">
        <v>3962710163.1116686</v>
      </c>
      <c r="U16" s="734">
        <v>4446396217.6326532</v>
      </c>
      <c r="V16" s="734">
        <v>4581222442.4578314</v>
      </c>
      <c r="W16" s="734">
        <v>5272617196.0451736</v>
      </c>
      <c r="X16" s="734">
        <v>5707618246.5684757</v>
      </c>
      <c r="Y16" s="734">
        <v>6236024951.2042265</v>
      </c>
      <c r="Z16" s="734">
        <v>7275766111.2430887</v>
      </c>
      <c r="AA16" s="734">
        <v>8680511918.4935722</v>
      </c>
      <c r="AB16" s="734">
        <v>13245421880.834042</v>
      </c>
      <c r="AC16" s="734">
        <v>20982270733.248421</v>
      </c>
      <c r="AD16" s="734">
        <v>33049380917.698471</v>
      </c>
      <c r="AE16" s="734">
        <v>46258154819.863678</v>
      </c>
      <c r="AF16" s="734">
        <v>43019407812.888779</v>
      </c>
      <c r="AG16" s="734">
        <v>51092154420.921539</v>
      </c>
    </row>
    <row r="17" spans="1:33">
      <c r="A17" s="22">
        <v>692</v>
      </c>
      <c r="B17" s="22" t="s">
        <v>144</v>
      </c>
      <c r="C17" s="735">
        <v>3072698345.8056474</v>
      </c>
      <c r="D17" s="735">
        <v>3467819352.7840381</v>
      </c>
      <c r="E17" s="735">
        <v>3645744805.6848884</v>
      </c>
      <c r="F17" s="735">
        <v>3735106510.8723788</v>
      </c>
      <c r="G17" s="735">
        <v>3905585155.0076046</v>
      </c>
      <c r="H17" s="735">
        <v>3651861912.2773228</v>
      </c>
      <c r="I17" s="735">
        <v>3052393636.4318008</v>
      </c>
      <c r="J17" s="735">
        <v>3392021222.5290627</v>
      </c>
      <c r="K17" s="735">
        <v>3702393658.6884294</v>
      </c>
      <c r="L17" s="735">
        <v>3863564047.1857829</v>
      </c>
      <c r="M17" s="735">
        <v>4229787378.8745599</v>
      </c>
      <c r="N17" s="735">
        <v>4616223477.2128878</v>
      </c>
      <c r="O17" s="735">
        <v>4751063992.468255</v>
      </c>
      <c r="P17" s="735">
        <v>5200266050.4025593</v>
      </c>
      <c r="Q17" s="735">
        <v>5567553552.3405399</v>
      </c>
      <c r="R17" s="735">
        <v>5849468115.1850567</v>
      </c>
      <c r="S17" s="735">
        <v>6101861655.7421494</v>
      </c>
      <c r="T17" s="735">
        <v>6349202600.3815546</v>
      </c>
      <c r="U17" s="735">
        <v>6183941092.3160057</v>
      </c>
      <c r="V17" s="735">
        <v>6621186419.4161053</v>
      </c>
      <c r="W17" s="735">
        <v>7970690894.2230759</v>
      </c>
      <c r="X17" s="735">
        <v>7928934209.5766125</v>
      </c>
      <c r="Y17" s="735">
        <v>8491183200.5549088</v>
      </c>
      <c r="Z17" s="735">
        <v>9747599583.4222069</v>
      </c>
      <c r="AA17" s="735">
        <v>11235671061.43714</v>
      </c>
      <c r="AB17" s="735">
        <v>13460198289.697531</v>
      </c>
      <c r="AC17" s="735">
        <v>15854942950.61039</v>
      </c>
      <c r="AD17" s="735">
        <v>18473097688.768318</v>
      </c>
      <c r="AE17" s="735">
        <v>21902892583.963661</v>
      </c>
      <c r="AF17" s="735">
        <v>20594899945.744102</v>
      </c>
      <c r="AG17" s="735"/>
    </row>
    <row r="18" spans="1:33">
      <c r="A18" s="22">
        <v>53</v>
      </c>
      <c r="B18" s="22" t="s">
        <v>8</v>
      </c>
      <c r="C18" s="738">
        <v>860438453.32037961</v>
      </c>
      <c r="D18" s="738">
        <v>946949724.8739388</v>
      </c>
      <c r="E18" s="738">
        <v>989409791.65016878</v>
      </c>
      <c r="F18" s="738">
        <v>1050464828.0394355</v>
      </c>
      <c r="G18" s="738">
        <v>1144931025.9133444</v>
      </c>
      <c r="H18" s="738">
        <v>1198180245.5069623</v>
      </c>
      <c r="I18" s="738">
        <v>1315567052.9401004</v>
      </c>
      <c r="J18" s="738">
        <v>1448665027.5951943</v>
      </c>
      <c r="K18" s="738">
        <v>1540893882.5538709</v>
      </c>
      <c r="L18" s="738">
        <v>1703922714.5632932</v>
      </c>
      <c r="M18" s="738">
        <v>1710435930.6093891</v>
      </c>
      <c r="N18" s="738">
        <v>1687167462.4662862</v>
      </c>
      <c r="O18" s="738">
        <v>1588499968</v>
      </c>
      <c r="P18" s="738">
        <v>1641226964.2788846</v>
      </c>
      <c r="Q18" s="738">
        <v>1726942730.4723232</v>
      </c>
      <c r="R18" s="738">
        <v>1859145793.4174957</v>
      </c>
      <c r="S18" s="738">
        <v>1982896516.450742</v>
      </c>
      <c r="T18" s="738">
        <v>2192363132.9582844</v>
      </c>
      <c r="U18" s="738">
        <v>2364540276.6090951</v>
      </c>
      <c r="V18" s="738">
        <v>2468403492.9201808</v>
      </c>
      <c r="W18" s="738">
        <v>2558850048</v>
      </c>
      <c r="X18" s="738">
        <v>2554187133.6091399</v>
      </c>
      <c r="Y18" s="738">
        <v>2476105823.7269702</v>
      </c>
      <c r="Z18" s="738">
        <v>2694879717.511405</v>
      </c>
      <c r="AA18" s="738">
        <v>2824000000</v>
      </c>
      <c r="AB18" s="738">
        <v>3005000000</v>
      </c>
      <c r="AC18" s="738">
        <v>3190900000</v>
      </c>
      <c r="AD18" s="738">
        <v>3409200000</v>
      </c>
      <c r="AE18" s="738">
        <v>3670215312.5</v>
      </c>
      <c r="AF18" s="738">
        <v>3595210912.5</v>
      </c>
      <c r="AG18" s="738">
        <v>3203000000</v>
      </c>
    </row>
    <row r="19" spans="1:33">
      <c r="A19" s="22">
        <v>211</v>
      </c>
      <c r="B19" s="22" t="s">
        <v>38</v>
      </c>
      <c r="C19" s="740">
        <v>125119228969.51303</v>
      </c>
      <c r="D19" s="740">
        <v>103317905877.87918</v>
      </c>
      <c r="E19" s="740">
        <v>90854164223.909592</v>
      </c>
      <c r="F19" s="740">
        <v>86008702327.416168</v>
      </c>
      <c r="G19" s="740">
        <v>82225698268.640045</v>
      </c>
      <c r="H19" s="740">
        <v>85105078537.944153</v>
      </c>
      <c r="I19" s="740">
        <v>118400530883.14972</v>
      </c>
      <c r="J19" s="740">
        <v>147380065370.07022</v>
      </c>
      <c r="K19" s="740">
        <v>160110766538.67252</v>
      </c>
      <c r="L19" s="740">
        <v>162006805487.30548</v>
      </c>
      <c r="M19" s="740">
        <v>202563186141.96039</v>
      </c>
      <c r="N19" s="740">
        <v>207672604016.5387</v>
      </c>
      <c r="O19" s="740">
        <v>231616006775.40778</v>
      </c>
      <c r="P19" s="740">
        <v>221691791044.77612</v>
      </c>
      <c r="Q19" s="740">
        <v>241582269471.90741</v>
      </c>
      <c r="R19" s="740">
        <v>284142036124.79474</v>
      </c>
      <c r="S19" s="740">
        <v>275433224755.70032</v>
      </c>
      <c r="T19" s="740">
        <v>249438430311.23138</v>
      </c>
      <c r="U19" s="740">
        <v>255267837297.17712</v>
      </c>
      <c r="V19" s="740">
        <v>254175367568.71936</v>
      </c>
      <c r="W19" s="740">
        <v>232371475953.56552</v>
      </c>
      <c r="X19" s="740">
        <v>232154809843.40045</v>
      </c>
      <c r="Y19" s="740">
        <v>252452475061.17072</v>
      </c>
      <c r="Z19" s="740">
        <v>311191873589.16479</v>
      </c>
      <c r="AA19" s="740">
        <v>361109559019.8233</v>
      </c>
      <c r="AB19" s="740">
        <v>376616674128.23956</v>
      </c>
      <c r="AC19" s="740">
        <v>399113833060.90143</v>
      </c>
      <c r="AD19" s="740">
        <v>458619726868.84613</v>
      </c>
      <c r="AE19" s="740">
        <v>505373713699.78394</v>
      </c>
      <c r="AF19" s="740">
        <v>471161072622.78021</v>
      </c>
      <c r="AG19" s="740">
        <v>467471523178.80792</v>
      </c>
    </row>
    <row r="20" spans="1:33" s="14" customFormat="1">
      <c r="A20" s="22">
        <v>434</v>
      </c>
      <c r="B20" s="22" t="s">
        <v>88</v>
      </c>
      <c r="C20" s="742">
        <v>1405115856.8098743</v>
      </c>
      <c r="D20" s="742">
        <v>1291127040.1326861</v>
      </c>
      <c r="E20" s="742">
        <v>1267725654.719938</v>
      </c>
      <c r="F20" s="742">
        <v>1095336784.3008201</v>
      </c>
      <c r="G20" s="742">
        <v>1051126009.2772559</v>
      </c>
      <c r="H20" s="742">
        <v>1045719663.2237321</v>
      </c>
      <c r="I20" s="742">
        <v>1336124851.348881</v>
      </c>
      <c r="J20" s="742">
        <v>1562394310.2730501</v>
      </c>
      <c r="K20" s="742">
        <v>1620236362.4067867</v>
      </c>
      <c r="L20" s="742">
        <v>1502286359.7794263</v>
      </c>
      <c r="M20" s="742">
        <v>1845041493.9764073</v>
      </c>
      <c r="N20" s="742">
        <v>1877810375.1361618</v>
      </c>
      <c r="O20" s="742">
        <v>1624296266.5069449</v>
      </c>
      <c r="P20" s="742">
        <v>2106272067.6882403</v>
      </c>
      <c r="Q20" s="742">
        <v>1496845630.2592921</v>
      </c>
      <c r="R20" s="742">
        <v>2009226253.798146</v>
      </c>
      <c r="S20" s="742">
        <v>2208067090.2808881</v>
      </c>
      <c r="T20" s="742">
        <v>2156753028.1333165</v>
      </c>
      <c r="U20" s="742">
        <v>2334564287.1650195</v>
      </c>
      <c r="V20" s="742">
        <v>2387363924.0561547</v>
      </c>
      <c r="W20" s="742">
        <v>2254838684.5133543</v>
      </c>
      <c r="X20" s="742">
        <v>2371785987.1221218</v>
      </c>
      <c r="Y20" s="742">
        <v>2807357350.8945608</v>
      </c>
      <c r="Z20" s="742">
        <v>3557983482.4501028</v>
      </c>
      <c r="AA20" s="742">
        <v>4047438048.5677419</v>
      </c>
      <c r="AB20" s="742">
        <v>4287463884.0650053</v>
      </c>
      <c r="AC20" s="742">
        <v>4734839067.4902945</v>
      </c>
      <c r="AD20" s="742">
        <v>5546177809.0292053</v>
      </c>
      <c r="AE20" s="742">
        <v>6682744914.1376925</v>
      </c>
      <c r="AF20" s="742">
        <v>6638062119.5884676</v>
      </c>
      <c r="AG20" s="742">
        <v>6633055845.5167513</v>
      </c>
    </row>
    <row r="21" spans="1:33">
      <c r="A21" s="22">
        <v>439</v>
      </c>
      <c r="B21" s="22" t="s">
        <v>93</v>
      </c>
      <c r="C21" s="750">
        <v>1928533240.8640947</v>
      </c>
      <c r="D21" s="750">
        <v>1775851757.5899241</v>
      </c>
      <c r="E21" s="750">
        <v>1754376729.2261326</v>
      </c>
      <c r="F21" s="750">
        <v>1600261928.0429611</v>
      </c>
      <c r="G21" s="750">
        <v>1459869021.8840785</v>
      </c>
      <c r="H21" s="750">
        <v>1552503401.769207</v>
      </c>
      <c r="I21" s="750">
        <v>2036338145.9129164</v>
      </c>
      <c r="J21" s="750">
        <v>2369847237.6840005</v>
      </c>
      <c r="K21" s="750">
        <v>2616051318.6382055</v>
      </c>
      <c r="L21" s="750">
        <v>2615598478.8201194</v>
      </c>
      <c r="M21" s="750">
        <v>3101309668.4400992</v>
      </c>
      <c r="N21" s="750">
        <v>3135055824.2756953</v>
      </c>
      <c r="O21" s="750">
        <v>2240264677.0108638</v>
      </c>
      <c r="P21" s="750">
        <v>2332018010.6048908</v>
      </c>
      <c r="Q21" s="750">
        <v>1895306626.2246635</v>
      </c>
      <c r="R21" s="750">
        <v>2379510500.9623971</v>
      </c>
      <c r="S21" s="750">
        <v>2586563406.9264274</v>
      </c>
      <c r="T21" s="750">
        <v>2447666540.0761375</v>
      </c>
      <c r="U21" s="750">
        <v>2804910748.3691287</v>
      </c>
      <c r="V21" s="750">
        <v>3014661262.3029666</v>
      </c>
      <c r="W21" s="750">
        <v>2610945548.6994443</v>
      </c>
      <c r="X21" s="750">
        <v>2812839821.1687789</v>
      </c>
      <c r="Y21" s="750">
        <v>3289645662.4936452</v>
      </c>
      <c r="Z21" s="750">
        <v>4270385658.525929</v>
      </c>
      <c r="AA21" s="750">
        <v>5108983826.5614805</v>
      </c>
      <c r="AB21" s="750">
        <v>5427438071.306345</v>
      </c>
      <c r="AC21" s="750">
        <v>5771194544.6671667</v>
      </c>
      <c r="AD21" s="750">
        <v>6766986320.8058958</v>
      </c>
      <c r="AE21" s="750">
        <v>8045823005.2924232</v>
      </c>
      <c r="AF21" s="750">
        <v>8140859745.9475718</v>
      </c>
      <c r="AG21" s="750">
        <v>8820312673.5140133</v>
      </c>
    </row>
    <row r="22" spans="1:33">
      <c r="A22" s="22">
        <v>31</v>
      </c>
      <c r="B22" s="22" t="s">
        <v>2</v>
      </c>
      <c r="C22" s="736">
        <v>1335299968</v>
      </c>
      <c r="D22" s="736">
        <v>1426499968</v>
      </c>
      <c r="E22" s="736">
        <v>1578300032</v>
      </c>
      <c r="F22" s="736">
        <v>1732800000</v>
      </c>
      <c r="G22" s="736">
        <v>2041100032</v>
      </c>
      <c r="H22" s="736">
        <v>2320699904</v>
      </c>
      <c r="I22" s="736">
        <v>2472499968</v>
      </c>
      <c r="J22" s="736">
        <v>2713999872</v>
      </c>
      <c r="K22" s="736">
        <v>2817900032</v>
      </c>
      <c r="L22" s="736">
        <v>3062000000</v>
      </c>
      <c r="M22" s="736">
        <v>3166000000</v>
      </c>
      <c r="N22" s="736">
        <v>3111160000</v>
      </c>
      <c r="O22" s="736">
        <v>3109000000</v>
      </c>
      <c r="P22" s="736">
        <v>3092000000</v>
      </c>
      <c r="Q22" s="736">
        <v>3259000000</v>
      </c>
      <c r="R22" s="736">
        <v>3429000000</v>
      </c>
      <c r="S22" s="736">
        <v>3609000000</v>
      </c>
      <c r="T22" s="736">
        <v>4204761925.2203798</v>
      </c>
      <c r="U22" s="736">
        <v>4714138318.8533897</v>
      </c>
      <c r="V22" s="736">
        <v>5150088040.1926003</v>
      </c>
      <c r="W22" s="736">
        <v>5528200494.6990805</v>
      </c>
      <c r="X22" s="736">
        <v>5658890129.3630695</v>
      </c>
      <c r="Y22" s="736">
        <v>5912310096.1723204</v>
      </c>
      <c r="Z22" s="736">
        <v>5942440639.8376904</v>
      </c>
      <c r="AA22" s="736">
        <v>6031700548.4715204</v>
      </c>
      <c r="AB22" s="736">
        <v>6508774909.1094398</v>
      </c>
      <c r="AC22" s="736">
        <v>6875630000</v>
      </c>
      <c r="AD22" s="736">
        <v>7233960000</v>
      </c>
      <c r="AE22" s="736">
        <v>7297903886</v>
      </c>
      <c r="AF22" s="736">
        <v>7077192101</v>
      </c>
      <c r="AG22" s="736">
        <v>7538000000</v>
      </c>
    </row>
    <row r="23" spans="1:33">
      <c r="A23" s="22">
        <v>760</v>
      </c>
      <c r="B23" s="22" t="s">
        <v>161</v>
      </c>
      <c r="C23" s="743"/>
      <c r="D23" s="743">
        <v>137241595.33091018</v>
      </c>
      <c r="E23" s="743">
        <v>144343732.26587862</v>
      </c>
      <c r="F23" s="743">
        <v>155750843.05642352</v>
      </c>
      <c r="G23" s="743">
        <v>161299396.60070977</v>
      </c>
      <c r="H23" s="743">
        <v>166959855.24238497</v>
      </c>
      <c r="I23" s="743">
        <v>188730201.27330241</v>
      </c>
      <c r="J23" s="743">
        <v>228602423.38453725</v>
      </c>
      <c r="K23" s="743">
        <v>261809401.94390112</v>
      </c>
      <c r="L23" s="743">
        <v>261388751.78878137</v>
      </c>
      <c r="M23" s="743">
        <v>281287042.96298707</v>
      </c>
      <c r="N23" s="743">
        <v>243562708.41182271</v>
      </c>
      <c r="O23" s="743">
        <v>238315817.74503142</v>
      </c>
      <c r="P23" s="743">
        <v>227267326.63531181</v>
      </c>
      <c r="Q23" s="743">
        <v>253233784.05042952</v>
      </c>
      <c r="R23" s="743">
        <v>286478236.49650979</v>
      </c>
      <c r="S23" s="743">
        <v>300967232.39282465</v>
      </c>
      <c r="T23" s="743">
        <v>342864384.22537196</v>
      </c>
      <c r="U23" s="743">
        <v>355712835.24059343</v>
      </c>
      <c r="V23" s="743">
        <v>396694740.6481117</v>
      </c>
      <c r="W23" s="743">
        <v>427808817.30706388</v>
      </c>
      <c r="X23" s="743">
        <v>455709385.89664298</v>
      </c>
      <c r="Y23" s="743">
        <v>507270767.63704628</v>
      </c>
      <c r="Z23" s="743">
        <v>610970025.73883772</v>
      </c>
      <c r="AA23" s="743">
        <v>702744043.34044766</v>
      </c>
      <c r="AB23" s="743">
        <v>818869145.81152499</v>
      </c>
      <c r="AC23" s="743">
        <v>897731525.0529784</v>
      </c>
      <c r="AD23" s="743">
        <v>1196077342.2336266</v>
      </c>
      <c r="AE23" s="743">
        <v>1257625054.7157896</v>
      </c>
      <c r="AF23" s="743">
        <v>1264816920.3594749</v>
      </c>
      <c r="AG23" s="743">
        <v>1516078205.3553376</v>
      </c>
    </row>
    <row r="24" spans="1:33">
      <c r="A24" s="22">
        <v>370</v>
      </c>
      <c r="B24" s="22" t="s">
        <v>72</v>
      </c>
      <c r="C24" s="739"/>
      <c r="D24" s="739"/>
      <c r="E24" s="739"/>
      <c r="F24" s="739"/>
      <c r="G24" s="739"/>
      <c r="H24" s="739"/>
      <c r="I24" s="739"/>
      <c r="J24" s="739"/>
      <c r="K24" s="739"/>
      <c r="L24" s="739"/>
      <c r="M24" s="739">
        <v>17369598958.11591</v>
      </c>
      <c r="N24" s="739">
        <v>17813389815.003983</v>
      </c>
      <c r="O24" s="739">
        <v>17022180272.211044</v>
      </c>
      <c r="P24" s="739">
        <v>16280372553.051813</v>
      </c>
      <c r="Q24" s="739">
        <v>14931599418.422628</v>
      </c>
      <c r="R24" s="739">
        <v>13972637603.21022</v>
      </c>
      <c r="S24" s="739">
        <v>14756861538.461538</v>
      </c>
      <c r="T24" s="739">
        <v>14128412417.193037</v>
      </c>
      <c r="U24" s="739">
        <v>15222014828.30385</v>
      </c>
      <c r="V24" s="739">
        <v>12138485328.626728</v>
      </c>
      <c r="W24" s="739">
        <v>12736856485.106791</v>
      </c>
      <c r="X24" s="739">
        <v>12354820143.884892</v>
      </c>
      <c r="Y24" s="739">
        <v>14594925392.969078</v>
      </c>
      <c r="Z24" s="739">
        <v>17825436034.536636</v>
      </c>
      <c r="AA24" s="739">
        <v>23141587717.763344</v>
      </c>
      <c r="AB24" s="739">
        <v>30210091836.829445</v>
      </c>
      <c r="AC24" s="739">
        <v>36961918858.738525</v>
      </c>
      <c r="AD24" s="739">
        <v>45275711995.824951</v>
      </c>
      <c r="AE24" s="739">
        <v>60763483146.067413</v>
      </c>
      <c r="AF24" s="739">
        <v>49271267252.195732</v>
      </c>
      <c r="AG24" s="739">
        <v>54713128376.268669</v>
      </c>
    </row>
    <row r="25" spans="1:33">
      <c r="A25" s="22">
        <v>80</v>
      </c>
      <c r="B25" s="22" t="s">
        <v>16</v>
      </c>
      <c r="C25" s="741">
        <v>194750000</v>
      </c>
      <c r="D25" s="741">
        <v>192900000</v>
      </c>
      <c r="E25" s="741">
        <v>179250000</v>
      </c>
      <c r="F25" s="741">
        <v>189000000</v>
      </c>
      <c r="G25" s="741">
        <v>210900000</v>
      </c>
      <c r="H25" s="741">
        <v>209150000</v>
      </c>
      <c r="I25" s="741">
        <v>227850000</v>
      </c>
      <c r="J25" s="741">
        <v>276550016</v>
      </c>
      <c r="K25" s="741">
        <v>314900000</v>
      </c>
      <c r="L25" s="741">
        <v>363150016</v>
      </c>
      <c r="M25" s="741">
        <v>413049984</v>
      </c>
      <c r="N25" s="741">
        <v>444720726.46489578</v>
      </c>
      <c r="O25" s="741">
        <v>518143678.48591971</v>
      </c>
      <c r="P25" s="741">
        <v>559759653.31006837</v>
      </c>
      <c r="Q25" s="741">
        <v>580760211.2631762</v>
      </c>
      <c r="R25" s="741">
        <v>620031771.85771441</v>
      </c>
      <c r="S25" s="741">
        <v>641271333.36313033</v>
      </c>
      <c r="T25" s="741">
        <v>654198121.10579216</v>
      </c>
      <c r="U25" s="741">
        <v>688872472.72482681</v>
      </c>
      <c r="V25" s="741">
        <v>732607993.76898336</v>
      </c>
      <c r="W25" s="741">
        <v>832072464.65277636</v>
      </c>
      <c r="X25" s="741">
        <v>871840755.3967669</v>
      </c>
      <c r="Y25" s="741">
        <v>932676403.18105638</v>
      </c>
      <c r="Z25" s="741">
        <v>988199088.30911088</v>
      </c>
      <c r="AA25" s="741">
        <v>1056303706.2921772</v>
      </c>
      <c r="AB25" s="741">
        <v>1114874607.7766886</v>
      </c>
      <c r="AC25" s="741">
        <v>1213104430.0339775</v>
      </c>
      <c r="AD25" s="741">
        <v>1276751655.9447339</v>
      </c>
      <c r="AE25" s="741">
        <v>1358700000</v>
      </c>
      <c r="AF25" s="741">
        <v>1351500000</v>
      </c>
      <c r="AG25" s="741">
        <v>1431500000</v>
      </c>
    </row>
    <row r="26" spans="1:33">
      <c r="A26" s="22">
        <v>771</v>
      </c>
      <c r="B26" s="22" t="s">
        <v>163</v>
      </c>
      <c r="C26" s="737">
        <v>18114645161.290321</v>
      </c>
      <c r="D26" s="737">
        <v>19762945710.302513</v>
      </c>
      <c r="E26" s="737">
        <v>18087000000</v>
      </c>
      <c r="F26" s="737">
        <v>17155798869.278816</v>
      </c>
      <c r="G26" s="737">
        <v>19670160943.91851</v>
      </c>
      <c r="H26" s="737">
        <v>21613230769.23077</v>
      </c>
      <c r="I26" s="737">
        <v>21160234383.678555</v>
      </c>
      <c r="J26" s="737">
        <v>23781404932.291306</v>
      </c>
      <c r="K26" s="737">
        <v>25638749373.05085</v>
      </c>
      <c r="L26" s="737">
        <v>26825240347.408607</v>
      </c>
      <c r="M26" s="737">
        <v>30128776343.5765</v>
      </c>
      <c r="N26" s="737">
        <v>30957444767.422142</v>
      </c>
      <c r="O26" s="737">
        <v>31708863729.973339</v>
      </c>
      <c r="P26" s="737">
        <v>33166530060.041229</v>
      </c>
      <c r="Q26" s="737">
        <v>33768661426.806961</v>
      </c>
      <c r="R26" s="737">
        <v>37939752959.866486</v>
      </c>
      <c r="S26" s="737">
        <v>40666015641.056412</v>
      </c>
      <c r="T26" s="737">
        <v>42318798537.714493</v>
      </c>
      <c r="U26" s="737">
        <v>44091754148.182251</v>
      </c>
      <c r="V26" s="737">
        <v>45694072379.367722</v>
      </c>
      <c r="W26" s="737">
        <v>47124925462.134766</v>
      </c>
      <c r="X26" s="737">
        <v>46987842846.553001</v>
      </c>
      <c r="Y26" s="737">
        <v>47571130071.391258</v>
      </c>
      <c r="Z26" s="737">
        <v>51913661485.319519</v>
      </c>
      <c r="AA26" s="737">
        <v>56560744012.230339</v>
      </c>
      <c r="AB26" s="737">
        <v>60277560975.609756</v>
      </c>
      <c r="AC26" s="737">
        <v>61901116736.152473</v>
      </c>
      <c r="AD26" s="737">
        <v>68415421372.719376</v>
      </c>
      <c r="AE26" s="737">
        <v>79554350677.743774</v>
      </c>
      <c r="AF26" s="737">
        <v>89359767441.860474</v>
      </c>
      <c r="AG26" s="737">
        <v>100075925463.35043</v>
      </c>
    </row>
    <row r="27" spans="1:33">
      <c r="A27" s="22">
        <v>145</v>
      </c>
      <c r="B27" s="22" t="s">
        <v>30</v>
      </c>
      <c r="C27" s="744">
        <v>4537487842.8173218</v>
      </c>
      <c r="D27" s="744">
        <v>5891606677.6919117</v>
      </c>
      <c r="E27" s="744">
        <v>5594118400.6413088</v>
      </c>
      <c r="F27" s="744">
        <v>5422656261.8957052</v>
      </c>
      <c r="G27" s="744">
        <v>6169481549.3844299</v>
      </c>
      <c r="H27" s="744">
        <v>5377277407.5271025</v>
      </c>
      <c r="I27" s="744">
        <v>3958338767.7134113</v>
      </c>
      <c r="J27" s="744">
        <v>4323623592.6358843</v>
      </c>
      <c r="K27" s="744">
        <v>4597615614.037797</v>
      </c>
      <c r="L27" s="744">
        <v>4715978705.9326191</v>
      </c>
      <c r="M27" s="744">
        <v>4867582765.4827251</v>
      </c>
      <c r="N27" s="744">
        <v>5343259488.6892939</v>
      </c>
      <c r="O27" s="744">
        <v>5643864513.4980507</v>
      </c>
      <c r="P27" s="744">
        <v>5734703516.1462622</v>
      </c>
      <c r="Q27" s="744">
        <v>5981218963.3992157</v>
      </c>
      <c r="R27" s="744">
        <v>6715164449.9269571</v>
      </c>
      <c r="S27" s="744">
        <v>7396952017.8169107</v>
      </c>
      <c r="T27" s="744">
        <v>7925733799.3801365</v>
      </c>
      <c r="U27" s="744">
        <v>8497499275.7764425</v>
      </c>
      <c r="V27" s="744">
        <v>8285061590.5950394</v>
      </c>
      <c r="W27" s="744">
        <v>8397858205.8257141</v>
      </c>
      <c r="X27" s="744">
        <v>8141513227.1446781</v>
      </c>
      <c r="Y27" s="744">
        <v>7905485150.0653181</v>
      </c>
      <c r="Z27" s="744">
        <v>8082396474.2391806</v>
      </c>
      <c r="AA27" s="744">
        <v>8773451753.4424667</v>
      </c>
      <c r="AB27" s="744">
        <v>9549196301.696785</v>
      </c>
      <c r="AC27" s="744">
        <v>11451297465.948931</v>
      </c>
      <c r="AD27" s="744">
        <v>13120517443.159616</v>
      </c>
      <c r="AE27" s="744">
        <v>16675015771.130394</v>
      </c>
      <c r="AF27" s="744">
        <v>17339992191.227657</v>
      </c>
      <c r="AG27" s="744">
        <v>19786162177.56876</v>
      </c>
    </row>
    <row r="28" spans="1:33">
      <c r="A28" s="22">
        <v>346</v>
      </c>
      <c r="B28" s="22" t="s">
        <v>60</v>
      </c>
      <c r="C28" s="745"/>
      <c r="D28" s="745"/>
      <c r="E28" s="745"/>
      <c r="F28" s="745"/>
      <c r="G28" s="745"/>
      <c r="H28" s="745"/>
      <c r="I28" s="745"/>
      <c r="J28" s="745"/>
      <c r="K28" s="745"/>
      <c r="L28" s="745"/>
      <c r="M28" s="745"/>
      <c r="N28" s="745"/>
      <c r="O28" s="745"/>
      <c r="P28" s="745"/>
      <c r="Q28" s="745">
        <v>1255802465.4394255</v>
      </c>
      <c r="R28" s="745">
        <v>1866572992.6520157</v>
      </c>
      <c r="S28" s="745">
        <v>2786045391.9110894</v>
      </c>
      <c r="T28" s="745">
        <v>3671816537.7593513</v>
      </c>
      <c r="U28" s="745">
        <v>4116699576.1758304</v>
      </c>
      <c r="V28" s="745">
        <v>4685729742.9193897</v>
      </c>
      <c r="W28" s="745">
        <v>5505984455.9585485</v>
      </c>
      <c r="X28" s="745">
        <v>5748990554.7994547</v>
      </c>
      <c r="Y28" s="745">
        <v>6651226179.0182877</v>
      </c>
      <c r="Z28" s="745">
        <v>8370020196.1915751</v>
      </c>
      <c r="AA28" s="745">
        <v>10022840634.920635</v>
      </c>
      <c r="AB28" s="745">
        <v>10763567749.729765</v>
      </c>
      <c r="AC28" s="745">
        <v>12254412802.257713</v>
      </c>
      <c r="AD28" s="745">
        <v>15226731980.405878</v>
      </c>
      <c r="AE28" s="745">
        <v>18500599161.174358</v>
      </c>
      <c r="AF28" s="745">
        <v>17042403579.799702</v>
      </c>
      <c r="AG28" s="745">
        <v>16887610020.311441</v>
      </c>
    </row>
    <row r="29" spans="1:33">
      <c r="A29" s="22">
        <v>571</v>
      </c>
      <c r="B29" s="22" t="s">
        <v>122</v>
      </c>
      <c r="C29" s="746">
        <v>1061196897.5207465</v>
      </c>
      <c r="D29" s="746">
        <v>1073476686.6084675</v>
      </c>
      <c r="E29" s="746">
        <v>1014611678.6682266</v>
      </c>
      <c r="F29" s="746">
        <v>1172151318.7296731</v>
      </c>
      <c r="G29" s="746">
        <v>1241178757.4920247</v>
      </c>
      <c r="H29" s="746">
        <v>1114529691.638829</v>
      </c>
      <c r="I29" s="746">
        <v>1392708925.8766873</v>
      </c>
      <c r="J29" s="746">
        <v>1965157808.6024241</v>
      </c>
      <c r="K29" s="746">
        <v>2643958452.7533665</v>
      </c>
      <c r="L29" s="746">
        <v>3083647482.1402082</v>
      </c>
      <c r="M29" s="746">
        <v>3791585992.344594</v>
      </c>
      <c r="N29" s="746">
        <v>3942012713.534658</v>
      </c>
      <c r="O29" s="746">
        <v>4145924376.74159</v>
      </c>
      <c r="P29" s="746">
        <v>4160296985.2695117</v>
      </c>
      <c r="Q29" s="746">
        <v>4339516121.6575651</v>
      </c>
      <c r="R29" s="746">
        <v>4773730291.8137255</v>
      </c>
      <c r="S29" s="746">
        <v>4800126339.3099794</v>
      </c>
      <c r="T29" s="746">
        <v>5179680522.0009689</v>
      </c>
      <c r="U29" s="746">
        <v>5190543764.4788914</v>
      </c>
      <c r="V29" s="746">
        <v>5866964491.0959806</v>
      </c>
      <c r="W29" s="746">
        <v>5632391130.0078163</v>
      </c>
      <c r="X29" s="746">
        <v>6033896672.5666885</v>
      </c>
      <c r="Y29" s="746">
        <v>6091305296.5085936</v>
      </c>
      <c r="Z29" s="746">
        <v>8086707335.4207201</v>
      </c>
      <c r="AA29" s="746">
        <v>10048660849.747236</v>
      </c>
      <c r="AB29" s="746">
        <v>10255448712.788122</v>
      </c>
      <c r="AC29" s="746">
        <v>11255175568.246689</v>
      </c>
      <c r="AD29" s="746">
        <v>12376435509.549393</v>
      </c>
      <c r="AE29" s="746">
        <v>13473345712.54608</v>
      </c>
      <c r="AF29" s="746">
        <v>11473685551.28602</v>
      </c>
      <c r="AG29" s="746">
        <v>14857275329.700508</v>
      </c>
    </row>
    <row r="30" spans="1:33">
      <c r="A30" s="22">
        <v>140</v>
      </c>
      <c r="B30" s="22" t="s">
        <v>29</v>
      </c>
      <c r="C30" s="747">
        <v>235024598984.11768</v>
      </c>
      <c r="D30" s="747">
        <v>263561088975.61462</v>
      </c>
      <c r="E30" s="747">
        <v>281682304160.25623</v>
      </c>
      <c r="F30" s="747">
        <v>203304515490.69479</v>
      </c>
      <c r="G30" s="747">
        <v>209023912696.76437</v>
      </c>
      <c r="H30" s="747">
        <v>222942790435.31732</v>
      </c>
      <c r="I30" s="747">
        <v>268137224729.72464</v>
      </c>
      <c r="J30" s="747">
        <v>294084112392.65686</v>
      </c>
      <c r="K30" s="747">
        <v>330397381998.48938</v>
      </c>
      <c r="L30" s="747">
        <v>425595310000</v>
      </c>
      <c r="M30" s="747">
        <v>461951782000</v>
      </c>
      <c r="N30" s="747">
        <v>407337832905.40546</v>
      </c>
      <c r="O30" s="747">
        <v>390566551483.76093</v>
      </c>
      <c r="P30" s="747">
        <v>438299504406.26251</v>
      </c>
      <c r="Q30" s="747">
        <v>546233380259.659</v>
      </c>
      <c r="R30" s="747">
        <v>768951180305.30042</v>
      </c>
      <c r="S30" s="747">
        <v>839683246760.43176</v>
      </c>
      <c r="T30" s="747">
        <v>871199987487.69934</v>
      </c>
      <c r="U30" s="747">
        <v>843826501464.43347</v>
      </c>
      <c r="V30" s="747">
        <v>586863191444.69189</v>
      </c>
      <c r="W30" s="747">
        <v>644701831101.3938</v>
      </c>
      <c r="X30" s="747">
        <v>553582178386.19165</v>
      </c>
      <c r="Y30" s="747">
        <v>504221228974.03528</v>
      </c>
      <c r="Z30" s="747">
        <v>552469288267.79333</v>
      </c>
      <c r="AA30" s="747">
        <v>663760000000</v>
      </c>
      <c r="AB30" s="747">
        <v>882185291700.90381</v>
      </c>
      <c r="AC30" s="747">
        <v>1088917279411.7646</v>
      </c>
      <c r="AD30" s="747">
        <v>1365982651542.3704</v>
      </c>
      <c r="AE30" s="747">
        <v>1652632229227.6106</v>
      </c>
      <c r="AF30" s="747">
        <v>1594489675023.9875</v>
      </c>
      <c r="AG30" s="747">
        <v>2087889553821.6841</v>
      </c>
    </row>
    <row r="31" spans="1:33">
      <c r="A31" s="22">
        <v>835</v>
      </c>
      <c r="B31" s="22" t="s">
        <v>174</v>
      </c>
      <c r="C31" s="748">
        <v>4928824957.967495</v>
      </c>
      <c r="D31" s="748">
        <v>4366213849.5763721</v>
      </c>
      <c r="E31" s="748">
        <v>4264252336.4485979</v>
      </c>
      <c r="F31" s="748">
        <v>3844723142.4514909</v>
      </c>
      <c r="G31" s="748">
        <v>3782523088.4628</v>
      </c>
      <c r="H31" s="748">
        <v>3523612563.0653152</v>
      </c>
      <c r="I31" s="748">
        <v>2358592817.1213374</v>
      </c>
      <c r="J31" s="748">
        <v>2754463437.7967715</v>
      </c>
      <c r="K31" s="748">
        <v>2690717551.1826677</v>
      </c>
      <c r="L31" s="748">
        <v>2985467989.540071</v>
      </c>
      <c r="M31" s="748">
        <v>3520551724.1379309</v>
      </c>
      <c r="N31" s="748">
        <v>3701667052.5584626</v>
      </c>
      <c r="O31" s="748">
        <v>4183548189.073051</v>
      </c>
      <c r="P31" s="748">
        <v>4105706151.7514548</v>
      </c>
      <c r="Q31" s="748">
        <v>4087337959.93191</v>
      </c>
      <c r="R31" s="748">
        <v>4734020036.6868916</v>
      </c>
      <c r="S31" s="748">
        <v>5115602836.8794327</v>
      </c>
      <c r="T31" s="748">
        <v>5197332974.1379318</v>
      </c>
      <c r="U31" s="748">
        <v>4051147227.5334611</v>
      </c>
      <c r="V31" s="748">
        <v>4600000000</v>
      </c>
      <c r="W31" s="748">
        <v>6001153317.865428</v>
      </c>
      <c r="X31" s="748">
        <v>5601090584.3612213</v>
      </c>
      <c r="Y31" s="748">
        <v>5843329101.9769936</v>
      </c>
      <c r="Z31" s="748">
        <v>6557333067.3860636</v>
      </c>
      <c r="AA31" s="748">
        <v>7872333197.2547646</v>
      </c>
      <c r="AB31" s="748">
        <v>9531402829.8485928</v>
      </c>
      <c r="AC31" s="748">
        <v>11470703002.076908</v>
      </c>
      <c r="AD31" s="748">
        <v>12247627894.632074</v>
      </c>
      <c r="AE31" s="748">
        <v>14393099068.585943</v>
      </c>
      <c r="AF31" s="748">
        <v>10732435033.686237</v>
      </c>
      <c r="AG31" s="748"/>
    </row>
    <row r="32" spans="1:33">
      <c r="A32" s="22">
        <v>516</v>
      </c>
      <c r="B32" s="22" t="s">
        <v>108</v>
      </c>
      <c r="C32" s="751">
        <v>919726666.66666663</v>
      </c>
      <c r="D32" s="751">
        <v>969046666.66666663</v>
      </c>
      <c r="E32" s="751">
        <v>1013222222.2222222</v>
      </c>
      <c r="F32" s="751">
        <v>1082926304.464766</v>
      </c>
      <c r="G32" s="751">
        <v>987143931.16698694</v>
      </c>
      <c r="H32" s="751">
        <v>1149979285.7734692</v>
      </c>
      <c r="I32" s="751">
        <v>1201725497.065779</v>
      </c>
      <c r="J32" s="751">
        <v>1131466494.0110068</v>
      </c>
      <c r="K32" s="751">
        <v>1082403219.4878733</v>
      </c>
      <c r="L32" s="751">
        <v>1113924130.4114907</v>
      </c>
      <c r="M32" s="751">
        <v>1132101252.5181746</v>
      </c>
      <c r="N32" s="751">
        <v>1167398478.3459036</v>
      </c>
      <c r="O32" s="751">
        <v>1083037670.624043</v>
      </c>
      <c r="P32" s="751">
        <v>938632612.05930805</v>
      </c>
      <c r="Q32" s="751">
        <v>925030590.28033388</v>
      </c>
      <c r="R32" s="751">
        <v>1000428393.949343</v>
      </c>
      <c r="S32" s="751">
        <v>869033856.31709325</v>
      </c>
      <c r="T32" s="751">
        <v>972896267.91542494</v>
      </c>
      <c r="U32" s="751">
        <v>893770806.07764149</v>
      </c>
      <c r="V32" s="751">
        <v>808077223.36574638</v>
      </c>
      <c r="W32" s="751">
        <v>709062400.26641881</v>
      </c>
      <c r="X32" s="751">
        <v>662371289.21539104</v>
      </c>
      <c r="Y32" s="751">
        <v>628096157.25738609</v>
      </c>
      <c r="Z32" s="751">
        <v>595002974.03785086</v>
      </c>
      <c r="AA32" s="751">
        <v>664493918.66728425</v>
      </c>
      <c r="AB32" s="751">
        <v>795882875.05316305</v>
      </c>
      <c r="AC32" s="751">
        <v>918823350.8438493</v>
      </c>
      <c r="AD32" s="751">
        <v>979785001.8948673</v>
      </c>
      <c r="AE32" s="751">
        <v>1168900171.2025504</v>
      </c>
      <c r="AF32" s="751">
        <v>1330790159.5590076</v>
      </c>
      <c r="AG32" s="751">
        <v>1610544922.0622473</v>
      </c>
    </row>
    <row r="33" spans="1:33">
      <c r="A33" s="22">
        <v>355</v>
      </c>
      <c r="B33" s="22" t="s">
        <v>64</v>
      </c>
      <c r="C33" s="749">
        <v>20039628407.847195</v>
      </c>
      <c r="D33" s="749">
        <v>20056237268.711884</v>
      </c>
      <c r="E33" s="749">
        <v>19804095242.980907</v>
      </c>
      <c r="F33" s="749">
        <v>16959385327.102755</v>
      </c>
      <c r="G33" s="749">
        <v>17411160327.857323</v>
      </c>
      <c r="H33" s="749">
        <v>17562123539.826809</v>
      </c>
      <c r="I33" s="749">
        <v>20261212353.547668</v>
      </c>
      <c r="J33" s="749">
        <v>28429026655.96973</v>
      </c>
      <c r="K33" s="749">
        <v>23002459531.891075</v>
      </c>
      <c r="L33" s="749">
        <v>21746813404.029892</v>
      </c>
      <c r="M33" s="749">
        <v>20726300434.703194</v>
      </c>
      <c r="N33" s="749">
        <v>10943548723.760754</v>
      </c>
      <c r="O33" s="749">
        <v>10371900499.457384</v>
      </c>
      <c r="P33" s="749">
        <v>10831999516.806074</v>
      </c>
      <c r="Q33" s="749">
        <v>9704877673.4882355</v>
      </c>
      <c r="R33" s="749">
        <v>13069087676.729053</v>
      </c>
      <c r="S33" s="749">
        <v>8890314314.923521</v>
      </c>
      <c r="T33" s="749">
        <v>10053468883.359236</v>
      </c>
      <c r="U33" s="749">
        <v>13060786260.892151</v>
      </c>
      <c r="V33" s="749">
        <v>13228374664.81222</v>
      </c>
      <c r="W33" s="749">
        <v>12903546576.088654</v>
      </c>
      <c r="X33" s="749">
        <v>13868600611.9981</v>
      </c>
      <c r="Y33" s="749">
        <v>15979194407.509272</v>
      </c>
      <c r="Z33" s="749">
        <v>20668176666.365479</v>
      </c>
      <c r="AA33" s="749">
        <v>25283228735.915653</v>
      </c>
      <c r="AB33" s="749">
        <v>28895083539.800518</v>
      </c>
      <c r="AC33" s="749">
        <v>33209188725.28257</v>
      </c>
      <c r="AD33" s="749">
        <v>42113655820.482399</v>
      </c>
      <c r="AE33" s="749">
        <v>51824867626.646034</v>
      </c>
      <c r="AF33" s="749">
        <v>48568714011.516312</v>
      </c>
      <c r="AG33" s="749">
        <v>47714490182.802979</v>
      </c>
    </row>
    <row r="34" spans="1:33">
      <c r="A34" s="22">
        <v>811</v>
      </c>
      <c r="B34" s="22" t="s">
        <v>169</v>
      </c>
      <c r="C34" s="752"/>
      <c r="D34" s="752"/>
      <c r="E34" s="752"/>
      <c r="F34" s="752"/>
      <c r="G34" s="752"/>
      <c r="H34" s="752"/>
      <c r="I34" s="752"/>
      <c r="J34" s="752"/>
      <c r="K34" s="752"/>
      <c r="L34" s="752"/>
      <c r="M34" s="752"/>
      <c r="N34" s="752"/>
      <c r="O34" s="752"/>
      <c r="P34" s="752">
        <v>2533727592.0287204</v>
      </c>
      <c r="Q34" s="752">
        <v>2791435218.7077551</v>
      </c>
      <c r="R34" s="752">
        <v>3441205624.3435707</v>
      </c>
      <c r="S34" s="752">
        <v>3506695722.7036562</v>
      </c>
      <c r="T34" s="752">
        <v>3443413331.64013</v>
      </c>
      <c r="U34" s="752">
        <v>3120425502.5696621</v>
      </c>
      <c r="V34" s="752">
        <v>3517242477.2336836</v>
      </c>
      <c r="W34" s="752">
        <v>3654031716.276494</v>
      </c>
      <c r="X34" s="752">
        <v>3979813387.8395886</v>
      </c>
      <c r="Y34" s="752">
        <v>4284028138.3485045</v>
      </c>
      <c r="Z34" s="752">
        <v>4658246906.6579504</v>
      </c>
      <c r="AA34" s="752">
        <v>5337833255.9453936</v>
      </c>
      <c r="AB34" s="752">
        <v>6293046162.1139793</v>
      </c>
      <c r="AC34" s="752">
        <v>7274424518.5676279</v>
      </c>
      <c r="AD34" s="752">
        <v>8639164917.0373802</v>
      </c>
      <c r="AE34" s="752">
        <v>10351829065.601294</v>
      </c>
      <c r="AF34" s="752">
        <v>10457584204.111187</v>
      </c>
      <c r="AG34" s="752">
        <v>11343440017.96928</v>
      </c>
    </row>
    <row r="35" spans="1:33">
      <c r="A35" s="22">
        <v>20</v>
      </c>
      <c r="B35" s="22" t="s">
        <v>1</v>
      </c>
      <c r="C35" s="754">
        <v>268893260348.95654</v>
      </c>
      <c r="D35" s="754">
        <v>300668112436.40002</v>
      </c>
      <c r="E35" s="754">
        <v>307902245278.43073</v>
      </c>
      <c r="F35" s="754">
        <v>333808828302.49921</v>
      </c>
      <c r="G35" s="754">
        <v>347140761331.17139</v>
      </c>
      <c r="H35" s="754">
        <v>355704137678.50604</v>
      </c>
      <c r="I35" s="754">
        <v>368867218423.89349</v>
      </c>
      <c r="J35" s="754">
        <v>421530165912.51886</v>
      </c>
      <c r="K35" s="754">
        <v>498166896887.95001</v>
      </c>
      <c r="L35" s="754">
        <v>555513513513.51355</v>
      </c>
      <c r="M35" s="754">
        <v>582722831676.37976</v>
      </c>
      <c r="N35" s="754">
        <v>598208082395.04236</v>
      </c>
      <c r="O35" s="754">
        <v>579531728303.1355</v>
      </c>
      <c r="P35" s="754">
        <v>563664832183.55164</v>
      </c>
      <c r="Q35" s="754">
        <v>564493995313.41541</v>
      </c>
      <c r="R35" s="754">
        <v>590517341882.83301</v>
      </c>
      <c r="S35" s="754">
        <v>613761642830.94983</v>
      </c>
      <c r="T35" s="754">
        <v>637536472627.47363</v>
      </c>
      <c r="U35" s="754">
        <v>616766430738.11926</v>
      </c>
      <c r="V35" s="754">
        <v>661264723699.26636</v>
      </c>
      <c r="W35" s="754">
        <v>724918860682.78223</v>
      </c>
      <c r="X35" s="754">
        <v>715423553719.0083</v>
      </c>
      <c r="Y35" s="754">
        <v>734661951188.42798</v>
      </c>
      <c r="Z35" s="754">
        <v>865873242452.35889</v>
      </c>
      <c r="AA35" s="754">
        <v>992226868149.60559</v>
      </c>
      <c r="AB35" s="754">
        <v>1133759985475.6719</v>
      </c>
      <c r="AC35" s="754">
        <v>1278610846644.8042</v>
      </c>
      <c r="AD35" s="754">
        <v>1424065729447.9099</v>
      </c>
      <c r="AE35" s="754">
        <v>1499107812265.707</v>
      </c>
      <c r="AF35" s="754">
        <v>1336067710611.4951</v>
      </c>
      <c r="AG35" s="754">
        <v>1574052204912.5513</v>
      </c>
    </row>
    <row r="36" spans="1:33">
      <c r="A36" s="22">
        <v>471</v>
      </c>
      <c r="B36" s="22" t="s">
        <v>98</v>
      </c>
      <c r="C36" s="753">
        <v>6740757493.142601</v>
      </c>
      <c r="D36" s="753">
        <v>7636346056.2442665</v>
      </c>
      <c r="E36" s="753">
        <v>7322913599.994832</v>
      </c>
      <c r="F36" s="753">
        <v>7381853864.714879</v>
      </c>
      <c r="G36" s="753">
        <v>7801858400.8771944</v>
      </c>
      <c r="H36" s="753">
        <v>8148223551.9853868</v>
      </c>
      <c r="I36" s="753">
        <v>10621157923.393972</v>
      </c>
      <c r="J36" s="753">
        <v>12302473328.792278</v>
      </c>
      <c r="K36" s="753">
        <v>12493286836.988396</v>
      </c>
      <c r="L36" s="753">
        <v>11140057045.801655</v>
      </c>
      <c r="M36" s="753">
        <v>11151578702.880175</v>
      </c>
      <c r="N36" s="753">
        <v>12434368415.999815</v>
      </c>
      <c r="O36" s="753">
        <v>11396311478.404282</v>
      </c>
      <c r="P36" s="753">
        <v>13532152214.798506</v>
      </c>
      <c r="Q36" s="753">
        <v>9220467286.2393456</v>
      </c>
      <c r="R36" s="753">
        <v>8733227080.8683186</v>
      </c>
      <c r="S36" s="753">
        <v>9732338099.3407536</v>
      </c>
      <c r="T36" s="753">
        <v>9840550361.4820957</v>
      </c>
      <c r="U36" s="753">
        <v>9629642599.8390007</v>
      </c>
      <c r="V36" s="753">
        <v>10486456218.26424</v>
      </c>
      <c r="W36" s="753">
        <v>10075040330.76288</v>
      </c>
      <c r="X36" s="753">
        <v>9598224206.2714157</v>
      </c>
      <c r="Y36" s="753">
        <v>10879778068.638374</v>
      </c>
      <c r="Z36" s="753">
        <v>13621809491.86475</v>
      </c>
      <c r="AA36" s="753">
        <v>15775357312.011089</v>
      </c>
      <c r="AB36" s="753">
        <v>16587863738.170864</v>
      </c>
      <c r="AC36" s="753">
        <v>17956985510.832977</v>
      </c>
      <c r="AD36" s="753">
        <v>20685921877.062901</v>
      </c>
      <c r="AE36" s="753">
        <v>23735512829.101627</v>
      </c>
      <c r="AF36" s="753">
        <v>22185977547.129845</v>
      </c>
      <c r="AG36" s="753">
        <v>22393529277.555794</v>
      </c>
    </row>
    <row r="37" spans="1:33">
      <c r="A37" s="22">
        <v>402</v>
      </c>
      <c r="B37" s="22" t="s">
        <v>81</v>
      </c>
      <c r="C37" s="755"/>
      <c r="D37" s="755"/>
      <c r="E37" s="755"/>
      <c r="F37" s="755"/>
      <c r="G37" s="755"/>
      <c r="H37" s="755"/>
      <c r="I37" s="755">
        <v>213539850.94497591</v>
      </c>
      <c r="J37" s="755">
        <v>259766538.14627042</v>
      </c>
      <c r="K37" s="755">
        <v>291889409.23439831</v>
      </c>
      <c r="L37" s="755">
        <v>295200190.82280797</v>
      </c>
      <c r="M37" s="755">
        <v>338690985.31656563</v>
      </c>
      <c r="N37" s="755">
        <v>351313578.31055349</v>
      </c>
      <c r="O37" s="755">
        <v>393844570.5548532</v>
      </c>
      <c r="P37" s="755">
        <v>363247416.91223091</v>
      </c>
      <c r="Q37" s="755">
        <v>410804606.12277287</v>
      </c>
      <c r="R37" s="755">
        <v>490609345.11339831</v>
      </c>
      <c r="S37" s="755">
        <v>502176380.16232157</v>
      </c>
      <c r="T37" s="755">
        <v>506433841.29643351</v>
      </c>
      <c r="U37" s="755">
        <v>539517920.0880214</v>
      </c>
      <c r="V37" s="755">
        <v>583442832.02256966</v>
      </c>
      <c r="W37" s="755">
        <v>531386031.89987218</v>
      </c>
      <c r="X37" s="755">
        <v>550199629.95423126</v>
      </c>
      <c r="Y37" s="755">
        <v>616209203.87819195</v>
      </c>
      <c r="Z37" s="755">
        <v>797314309.69366348</v>
      </c>
      <c r="AA37" s="755">
        <v>924644653.09017348</v>
      </c>
      <c r="AB37" s="755">
        <v>999332627.44071949</v>
      </c>
      <c r="AC37" s="755">
        <v>1107887282.283478</v>
      </c>
      <c r="AD37" s="755">
        <v>1331215013.5911725</v>
      </c>
      <c r="AE37" s="755">
        <v>1550552391.5371189</v>
      </c>
      <c r="AF37" s="755">
        <v>1586929006.2980893</v>
      </c>
      <c r="AG37" s="755">
        <v>1648089239.7770095</v>
      </c>
    </row>
    <row r="38" spans="1:33">
      <c r="A38" s="22">
        <v>437</v>
      </c>
      <c r="B38" s="22" t="s">
        <v>91</v>
      </c>
      <c r="C38" s="765">
        <v>10174633035.115948</v>
      </c>
      <c r="D38" s="765">
        <v>8432635033.1873541</v>
      </c>
      <c r="E38" s="765">
        <v>7566794297.8029337</v>
      </c>
      <c r="F38" s="765">
        <v>6838113639.6777496</v>
      </c>
      <c r="G38" s="765">
        <v>6841587045.3313808</v>
      </c>
      <c r="H38" s="765">
        <v>6977696663.5623026</v>
      </c>
      <c r="I38" s="765">
        <v>9158458237.5974579</v>
      </c>
      <c r="J38" s="765">
        <v>10087539067.970985</v>
      </c>
      <c r="K38" s="765">
        <v>10255211777.214476</v>
      </c>
      <c r="L38" s="765">
        <v>9757450377.0011311</v>
      </c>
      <c r="M38" s="765">
        <v>10796040439.932419</v>
      </c>
      <c r="N38" s="765">
        <v>10492662389.995251</v>
      </c>
      <c r="O38" s="765">
        <v>11153005024.696722</v>
      </c>
      <c r="P38" s="765">
        <v>11045080761.974716</v>
      </c>
      <c r="Q38" s="765">
        <v>8313627828.0115271</v>
      </c>
      <c r="R38" s="765">
        <v>11000111579.124512</v>
      </c>
      <c r="S38" s="765">
        <v>12139291891.514027</v>
      </c>
      <c r="T38" s="765">
        <v>11722200901.194168</v>
      </c>
      <c r="U38" s="765">
        <v>12782574028.106712</v>
      </c>
      <c r="V38" s="765">
        <v>12556439824.589897</v>
      </c>
      <c r="W38" s="765">
        <v>10417006095.676844</v>
      </c>
      <c r="X38" s="765">
        <v>10545263559.969442</v>
      </c>
      <c r="Y38" s="765">
        <v>11486664324.826849</v>
      </c>
      <c r="Z38" s="765">
        <v>13737489762.004816</v>
      </c>
      <c r="AA38" s="765">
        <v>15481092869.153513</v>
      </c>
      <c r="AB38" s="765">
        <v>16363441576.472963</v>
      </c>
      <c r="AC38" s="765">
        <v>17367306796.601635</v>
      </c>
      <c r="AD38" s="765">
        <v>19795696265.315273</v>
      </c>
      <c r="AE38" s="765">
        <v>23414005259.468433</v>
      </c>
      <c r="AF38" s="765">
        <v>23041807677.483028</v>
      </c>
      <c r="AG38" s="765">
        <v>22780280529.885296</v>
      </c>
    </row>
    <row r="39" spans="1:33">
      <c r="A39" s="22">
        <v>482</v>
      </c>
      <c r="B39" s="22" t="s">
        <v>101</v>
      </c>
      <c r="C39" s="756">
        <v>797050266.11313879</v>
      </c>
      <c r="D39" s="756">
        <v>694807309.89813042</v>
      </c>
      <c r="E39" s="756">
        <v>748315219.0221194</v>
      </c>
      <c r="F39" s="756">
        <v>658681119.22084665</v>
      </c>
      <c r="G39" s="756">
        <v>637823121.7139504</v>
      </c>
      <c r="H39" s="756">
        <v>864853641.47827411</v>
      </c>
      <c r="I39" s="756">
        <v>1120165773.5358698</v>
      </c>
      <c r="J39" s="756">
        <v>1211766667.9833577</v>
      </c>
      <c r="K39" s="756">
        <v>1282893967.0999053</v>
      </c>
      <c r="L39" s="756">
        <v>1268668131.2869959</v>
      </c>
      <c r="M39" s="756">
        <v>1487510977.3674924</v>
      </c>
      <c r="N39" s="756">
        <v>1404323259.6452057</v>
      </c>
      <c r="O39" s="756">
        <v>1434151468.4849496</v>
      </c>
      <c r="P39" s="756">
        <v>1298847602.7685127</v>
      </c>
      <c r="Q39" s="756">
        <v>852998900.55370307</v>
      </c>
      <c r="R39" s="756">
        <v>1121907256.0304096</v>
      </c>
      <c r="S39" s="756">
        <v>1070076555.2145965</v>
      </c>
      <c r="T39" s="756">
        <v>1003264949.1192485</v>
      </c>
      <c r="U39" s="756">
        <v>1047204550.3393838</v>
      </c>
      <c r="V39" s="756">
        <v>1051323696.6054896</v>
      </c>
      <c r="W39" s="756">
        <v>959413050.58832407</v>
      </c>
      <c r="X39" s="756">
        <v>967526420.20726156</v>
      </c>
      <c r="Y39" s="756">
        <v>1041975238.4810072</v>
      </c>
      <c r="Z39" s="756">
        <v>1139211629.2065227</v>
      </c>
      <c r="AA39" s="756">
        <v>1269621728.7513402</v>
      </c>
      <c r="AB39" s="756">
        <v>1350047284.9907579</v>
      </c>
      <c r="AC39" s="756">
        <v>1476870078.0092008</v>
      </c>
      <c r="AD39" s="756">
        <v>1696340453.2337925</v>
      </c>
      <c r="AE39" s="756">
        <v>1982983854.7598312</v>
      </c>
      <c r="AF39" s="756">
        <v>1980151889.2978616</v>
      </c>
      <c r="AG39" s="756">
        <v>2013014939.1148791</v>
      </c>
    </row>
    <row r="40" spans="1:33">
      <c r="A40" s="22">
        <v>483</v>
      </c>
      <c r="B40" s="22" t="s">
        <v>102</v>
      </c>
      <c r="C40" s="757">
        <v>1033005117.6042397</v>
      </c>
      <c r="D40" s="757">
        <v>876942247.47084892</v>
      </c>
      <c r="E40" s="757">
        <v>834373041.07594693</v>
      </c>
      <c r="F40" s="757">
        <v>832418069.19435</v>
      </c>
      <c r="G40" s="757">
        <v>919107239.07559586</v>
      </c>
      <c r="H40" s="757">
        <v>1033074223.2191539</v>
      </c>
      <c r="I40" s="757">
        <v>1067831033.2688326</v>
      </c>
      <c r="J40" s="757">
        <v>1163432898.8947184</v>
      </c>
      <c r="K40" s="757">
        <v>1482603365.8174729</v>
      </c>
      <c r="L40" s="757">
        <v>1433692150.1510167</v>
      </c>
      <c r="M40" s="757">
        <v>1738610589.753469</v>
      </c>
      <c r="N40" s="757">
        <v>1877144030.2439435</v>
      </c>
      <c r="O40" s="757">
        <v>1881853364.3491559</v>
      </c>
      <c r="P40" s="757">
        <v>1463316169.1882741</v>
      </c>
      <c r="Q40" s="757">
        <v>1179847942.5670211</v>
      </c>
      <c r="R40" s="757">
        <v>1445915335.0872386</v>
      </c>
      <c r="S40" s="757">
        <v>1607352991.0662708</v>
      </c>
      <c r="T40" s="757">
        <v>1544687914.8651268</v>
      </c>
      <c r="U40" s="757">
        <v>1744651916.4420049</v>
      </c>
      <c r="V40" s="757">
        <v>1536917961.5284142</v>
      </c>
      <c r="W40" s="757">
        <v>1385050963.934695</v>
      </c>
      <c r="X40" s="757">
        <v>1709344295.5189722</v>
      </c>
      <c r="Y40" s="757">
        <v>1987873833.4982657</v>
      </c>
      <c r="Z40" s="757">
        <v>2736667928.4239502</v>
      </c>
      <c r="AA40" s="757">
        <v>4414969334.4438553</v>
      </c>
      <c r="AB40" s="757">
        <v>5301938221.0779753</v>
      </c>
      <c r="AC40" s="757">
        <v>6099009022.9914513</v>
      </c>
      <c r="AD40" s="757">
        <v>7016297534.4755535</v>
      </c>
      <c r="AE40" s="757">
        <v>8357142857.1428576</v>
      </c>
      <c r="AF40" s="757">
        <v>6838983050.8474579</v>
      </c>
      <c r="AG40" s="757">
        <v>7587673160.6757431</v>
      </c>
    </row>
    <row r="41" spans="1:33">
      <c r="A41" s="22">
        <v>155</v>
      </c>
      <c r="B41" s="22" t="s">
        <v>32</v>
      </c>
      <c r="C41" s="758">
        <v>27572307600.410255</v>
      </c>
      <c r="D41" s="758">
        <v>32644872979.692307</v>
      </c>
      <c r="E41" s="758">
        <v>24339421605.185623</v>
      </c>
      <c r="F41" s="758">
        <v>19770402077.014847</v>
      </c>
      <c r="G41" s="758">
        <v>19232737055.402111</v>
      </c>
      <c r="H41" s="758">
        <v>16486012247.370382</v>
      </c>
      <c r="I41" s="758">
        <v>17722536671.33157</v>
      </c>
      <c r="J41" s="758">
        <v>20902096531.607494</v>
      </c>
      <c r="K41" s="758">
        <v>24640912615.8116</v>
      </c>
      <c r="L41" s="758">
        <v>28385038396.703503</v>
      </c>
      <c r="M41" s="758">
        <v>31558927517.218761</v>
      </c>
      <c r="N41" s="758">
        <v>36424168146.154282</v>
      </c>
      <c r="O41" s="758">
        <v>44467946384.246239</v>
      </c>
      <c r="P41" s="758">
        <v>47693992626.864929</v>
      </c>
      <c r="Q41" s="758">
        <v>55154226759.960014</v>
      </c>
      <c r="R41" s="758">
        <v>71349202308.642288</v>
      </c>
      <c r="S41" s="758">
        <v>75769008174.254745</v>
      </c>
      <c r="T41" s="758">
        <v>82808986191.600479</v>
      </c>
      <c r="U41" s="758">
        <v>79373597080.101669</v>
      </c>
      <c r="V41" s="758">
        <v>72995286764.41684</v>
      </c>
      <c r="W41" s="758">
        <v>75210511779.643738</v>
      </c>
      <c r="X41" s="758">
        <v>68568293067.061447</v>
      </c>
      <c r="Y41" s="758">
        <v>67265403373.298103</v>
      </c>
      <c r="Z41" s="758">
        <v>73989608414.632629</v>
      </c>
      <c r="AA41" s="758">
        <v>95652734479.197861</v>
      </c>
      <c r="AB41" s="758">
        <v>118249630260.37428</v>
      </c>
      <c r="AC41" s="758">
        <v>146772604312.84503</v>
      </c>
      <c r="AD41" s="758">
        <v>164315221641.8273</v>
      </c>
      <c r="AE41" s="758">
        <v>170741003929.2644</v>
      </c>
      <c r="AF41" s="758">
        <v>160859264563.34656</v>
      </c>
      <c r="AG41" s="758">
        <v>203442593943.40079</v>
      </c>
    </row>
    <row r="42" spans="1:33">
      <c r="A42" s="22">
        <v>710</v>
      </c>
      <c r="B42" s="22" t="s">
        <v>154</v>
      </c>
      <c r="C42" s="759">
        <v>189399992473.92047</v>
      </c>
      <c r="D42" s="759">
        <v>194111112580.3078</v>
      </c>
      <c r="E42" s="759">
        <v>203183214981.86017</v>
      </c>
      <c r="F42" s="759">
        <v>228455947879.68686</v>
      </c>
      <c r="G42" s="759">
        <v>257432147241.18619</v>
      </c>
      <c r="H42" s="759">
        <v>306666660698.09283</v>
      </c>
      <c r="I42" s="759">
        <v>297831879941.52734</v>
      </c>
      <c r="J42" s="759">
        <v>270372194996.88773</v>
      </c>
      <c r="K42" s="759">
        <v>309522625241.61957</v>
      </c>
      <c r="L42" s="759">
        <v>343973680226.2486</v>
      </c>
      <c r="M42" s="759">
        <v>356936901183.93286</v>
      </c>
      <c r="N42" s="759">
        <v>379468656246.25134</v>
      </c>
      <c r="O42" s="759">
        <v>422660918111.41339</v>
      </c>
      <c r="P42" s="759">
        <v>440500898964.59888</v>
      </c>
      <c r="Q42" s="759">
        <v>559224707280.73083</v>
      </c>
      <c r="R42" s="759">
        <v>728007199936.41187</v>
      </c>
      <c r="S42" s="759">
        <v>856084729312.25269</v>
      </c>
      <c r="T42" s="759">
        <v>952652693079.13672</v>
      </c>
      <c r="U42" s="759">
        <v>1019458585326.1494</v>
      </c>
      <c r="V42" s="759">
        <v>1083277930359.8774</v>
      </c>
      <c r="W42" s="759">
        <v>1198480321713.001</v>
      </c>
      <c r="X42" s="759">
        <v>1324804848409.4326</v>
      </c>
      <c r="Y42" s="759">
        <v>1453827687613.0815</v>
      </c>
      <c r="Z42" s="759">
        <v>1640959264366.2905</v>
      </c>
      <c r="AA42" s="759">
        <v>1931643872027.8369</v>
      </c>
      <c r="AB42" s="759">
        <v>2256902969137.083</v>
      </c>
      <c r="AC42" s="759">
        <v>2712950560614.042</v>
      </c>
      <c r="AD42" s="759">
        <v>3494055865921.7876</v>
      </c>
      <c r="AE42" s="759">
        <v>4521826899540.6836</v>
      </c>
      <c r="AF42" s="759">
        <v>4991256222547.583</v>
      </c>
      <c r="AG42" s="759">
        <v>5878629246676.5146</v>
      </c>
    </row>
    <row r="43" spans="1:33">
      <c r="A43" s="22">
        <v>100</v>
      </c>
      <c r="B43" s="22" t="s">
        <v>23</v>
      </c>
      <c r="C43" s="760">
        <v>33400712095.040035</v>
      </c>
      <c r="D43" s="760">
        <v>36388389129.337616</v>
      </c>
      <c r="E43" s="760">
        <v>38968019453.077278</v>
      </c>
      <c r="F43" s="760">
        <v>38729822781.599724</v>
      </c>
      <c r="G43" s="760">
        <v>38253120737.967117</v>
      </c>
      <c r="H43" s="760">
        <v>34894419525.220383</v>
      </c>
      <c r="I43" s="760">
        <v>34942483688.168457</v>
      </c>
      <c r="J43" s="760">
        <v>36373312082.657753</v>
      </c>
      <c r="K43" s="760">
        <v>39212545681.433327</v>
      </c>
      <c r="L43" s="760">
        <v>39540083645.551941</v>
      </c>
      <c r="M43" s="760">
        <v>40274204595.229561</v>
      </c>
      <c r="N43" s="760">
        <v>41239551378.248169</v>
      </c>
      <c r="O43" s="760">
        <v>49279585355.094841</v>
      </c>
      <c r="P43" s="760">
        <v>55802540100.97953</v>
      </c>
      <c r="Q43" s="760">
        <v>81703496603.993362</v>
      </c>
      <c r="R43" s="760">
        <v>92507277798.198502</v>
      </c>
      <c r="S43" s="760">
        <v>97160111573.336975</v>
      </c>
      <c r="T43" s="760">
        <v>106659507963.52811</v>
      </c>
      <c r="U43" s="760">
        <v>98443743190.849106</v>
      </c>
      <c r="V43" s="760">
        <v>86186156584.381668</v>
      </c>
      <c r="W43" s="760">
        <v>100363791870.83203</v>
      </c>
      <c r="X43" s="760">
        <v>98745443239.976166</v>
      </c>
      <c r="Y43" s="760">
        <v>98229102138.790085</v>
      </c>
      <c r="Z43" s="760">
        <v>94916590095.569077</v>
      </c>
      <c r="AA43" s="760">
        <v>117188202054.66412</v>
      </c>
      <c r="AB43" s="760">
        <v>146570319333.66943</v>
      </c>
      <c r="AC43" s="760">
        <v>162807996675.12024</v>
      </c>
      <c r="AD43" s="760">
        <v>207410686361.77737</v>
      </c>
      <c r="AE43" s="760">
        <v>244645672494.99048</v>
      </c>
      <c r="AF43" s="760">
        <v>235836552597.28516</v>
      </c>
      <c r="AG43" s="760">
        <v>288188988824.43134</v>
      </c>
    </row>
    <row r="44" spans="1:33">
      <c r="A44" s="22">
        <v>581</v>
      </c>
      <c r="B44" s="22" t="s">
        <v>125</v>
      </c>
      <c r="C44" s="761">
        <v>123504939.57279238</v>
      </c>
      <c r="D44" s="761">
        <v>114271518.81647223</v>
      </c>
      <c r="E44" s="761">
        <v>107089063.35570061</v>
      </c>
      <c r="F44" s="761">
        <v>111519324.83782251</v>
      </c>
      <c r="G44" s="761">
        <v>107489330.73657471</v>
      </c>
      <c r="H44" s="761">
        <v>114490238.93015417</v>
      </c>
      <c r="I44" s="761">
        <v>162487294.76991317</v>
      </c>
      <c r="J44" s="761">
        <v>196433030.53554493</v>
      </c>
      <c r="K44" s="761">
        <v>207475649.39045888</v>
      </c>
      <c r="L44" s="761">
        <v>198732313.61067313</v>
      </c>
      <c r="M44" s="761">
        <v>250033056.63703814</v>
      </c>
      <c r="N44" s="761">
        <v>246822116.50939718</v>
      </c>
      <c r="O44" s="761">
        <v>266189632.43933496</v>
      </c>
      <c r="P44" s="761">
        <v>263564577.41803339</v>
      </c>
      <c r="Q44" s="761">
        <v>185759948.89566118</v>
      </c>
      <c r="R44" s="761">
        <v>231893813.72525451</v>
      </c>
      <c r="S44" s="761">
        <v>230493348.34646985</v>
      </c>
      <c r="T44" s="761">
        <v>212098229.58309537</v>
      </c>
      <c r="U44" s="761">
        <v>215393481.89666864</v>
      </c>
      <c r="V44" s="761">
        <v>222580742.96084231</v>
      </c>
      <c r="W44" s="761">
        <v>201900820.25544026</v>
      </c>
      <c r="X44" s="761">
        <v>220115318.85481468</v>
      </c>
      <c r="Y44" s="761">
        <v>251163102.11577457</v>
      </c>
      <c r="Z44" s="761">
        <v>324471208.99288827</v>
      </c>
      <c r="AA44" s="761">
        <v>362420491.15906614</v>
      </c>
      <c r="AB44" s="761">
        <v>387036433.1738292</v>
      </c>
      <c r="AC44" s="761">
        <v>403177193.56401557</v>
      </c>
      <c r="AD44" s="761">
        <v>464949227.9872027</v>
      </c>
      <c r="AE44" s="761">
        <v>530138454.66726214</v>
      </c>
      <c r="AF44" s="761">
        <v>535336307.67493081</v>
      </c>
      <c r="AG44" s="761">
        <v>541097513.04319727</v>
      </c>
    </row>
    <row r="45" spans="1:33">
      <c r="A45" s="22">
        <v>484</v>
      </c>
      <c r="B45" s="22" t="s">
        <v>103</v>
      </c>
      <c r="C45" s="763">
        <v>1705801333.7813981</v>
      </c>
      <c r="D45" s="763">
        <v>1993522982.3722076</v>
      </c>
      <c r="E45" s="763">
        <v>2160648803.2744479</v>
      </c>
      <c r="F45" s="763">
        <v>2097279991.6024826</v>
      </c>
      <c r="G45" s="763">
        <v>2193589728.9194541</v>
      </c>
      <c r="H45" s="763">
        <v>2160881981.7433519</v>
      </c>
      <c r="I45" s="763">
        <v>1849273039.6615701</v>
      </c>
      <c r="J45" s="763">
        <v>2297765594.6894703</v>
      </c>
      <c r="K45" s="763">
        <v>2212545367.2523141</v>
      </c>
      <c r="L45" s="763">
        <v>2389602756.0523748</v>
      </c>
      <c r="M45" s="763">
        <v>2798754150.3834515</v>
      </c>
      <c r="N45" s="763">
        <v>2724862285.8074627</v>
      </c>
      <c r="O45" s="763">
        <v>2933231579.4643569</v>
      </c>
      <c r="P45" s="763">
        <v>1918970177.7492516</v>
      </c>
      <c r="Q45" s="763">
        <v>1769380403.4582131</v>
      </c>
      <c r="R45" s="763">
        <v>2115997195.2318943</v>
      </c>
      <c r="S45" s="763">
        <v>2540699674.7153759</v>
      </c>
      <c r="T45" s="763">
        <v>2322716603.5602312</v>
      </c>
      <c r="U45" s="763">
        <v>1949481957.5029545</v>
      </c>
      <c r="V45" s="763">
        <v>2353906123.1119051</v>
      </c>
      <c r="W45" s="763">
        <v>3219893817.2420573</v>
      </c>
      <c r="X45" s="763">
        <v>2794254065.2624688</v>
      </c>
      <c r="Y45" s="763">
        <v>3019985939.5400219</v>
      </c>
      <c r="Z45" s="763">
        <v>3495870612.5258083</v>
      </c>
      <c r="AA45" s="763">
        <v>4648628921.3696852</v>
      </c>
      <c r="AB45" s="763">
        <v>6087004330.1205006</v>
      </c>
      <c r="AC45" s="763">
        <v>7731262789.4968348</v>
      </c>
      <c r="AD45" s="763">
        <v>8343503640.3807669</v>
      </c>
      <c r="AE45" s="763">
        <v>11789245042.577503</v>
      </c>
      <c r="AF45" s="763">
        <v>9579804345.3459949</v>
      </c>
      <c r="AG45" s="763">
        <v>11897620542.054543</v>
      </c>
    </row>
    <row r="46" spans="1:33">
      <c r="A46" s="22">
        <v>94</v>
      </c>
      <c r="B46" s="22" t="s">
        <v>21</v>
      </c>
      <c r="C46" s="764">
        <v>4831447173.2136135</v>
      </c>
      <c r="D46" s="764">
        <v>2623807083.3070927</v>
      </c>
      <c r="E46" s="764">
        <v>2606621244.6965337</v>
      </c>
      <c r="F46" s="764">
        <v>3976453954.9443445</v>
      </c>
      <c r="G46" s="764">
        <v>4593908761.7918863</v>
      </c>
      <c r="H46" s="764">
        <v>4796628461.6223717</v>
      </c>
      <c r="I46" s="764">
        <v>5477895475.743392</v>
      </c>
      <c r="J46" s="764">
        <v>5841132961.3994541</v>
      </c>
      <c r="K46" s="764">
        <v>6063759371.1046724</v>
      </c>
      <c r="L46" s="764">
        <v>6866402028.3582382</v>
      </c>
      <c r="M46" s="764">
        <v>7403457319.2518492</v>
      </c>
      <c r="N46" s="764">
        <v>7162546469.7655993</v>
      </c>
      <c r="O46" s="764">
        <v>8573610781.2293072</v>
      </c>
      <c r="P46" s="764">
        <v>9638291624.3646584</v>
      </c>
      <c r="Q46" s="764">
        <v>10557530521.636368</v>
      </c>
      <c r="R46" s="764">
        <v>11722356980.197678</v>
      </c>
      <c r="S46" s="764">
        <v>11843228352.022327</v>
      </c>
      <c r="T46" s="764">
        <v>12828976089.823732</v>
      </c>
      <c r="U46" s="764">
        <v>14095921303.316614</v>
      </c>
      <c r="V46" s="764">
        <v>15796567138.056566</v>
      </c>
      <c r="W46" s="764">
        <v>15946443260.833477</v>
      </c>
      <c r="X46" s="764">
        <v>16403603009.258553</v>
      </c>
      <c r="Y46" s="764">
        <v>16844378717.944279</v>
      </c>
      <c r="Z46" s="764">
        <v>17517535901.826015</v>
      </c>
      <c r="AA46" s="764">
        <v>18596365933.705574</v>
      </c>
      <c r="AB46" s="764">
        <v>19964893791.984928</v>
      </c>
      <c r="AC46" s="764">
        <v>22526464348.097347</v>
      </c>
      <c r="AD46" s="764">
        <v>26267157320.274345</v>
      </c>
      <c r="AE46" s="764">
        <v>29663614222.941414</v>
      </c>
      <c r="AF46" s="764">
        <v>29239504920.381153</v>
      </c>
      <c r="AG46" s="764">
        <v>34564395711.224373</v>
      </c>
    </row>
    <row r="47" spans="1:33">
      <c r="A47" s="22">
        <v>344</v>
      </c>
      <c r="B47" s="22" t="s">
        <v>58</v>
      </c>
      <c r="C47" s="766"/>
      <c r="D47" s="766"/>
      <c r="E47" s="766"/>
      <c r="F47" s="766"/>
      <c r="G47" s="766"/>
      <c r="H47" s="766"/>
      <c r="I47" s="766"/>
      <c r="J47" s="766"/>
      <c r="K47" s="766"/>
      <c r="L47" s="766"/>
      <c r="M47" s="766">
        <v>24782163174.446133</v>
      </c>
      <c r="N47" s="766">
        <v>18156461130.253429</v>
      </c>
      <c r="O47" s="766">
        <v>10240621326.368496</v>
      </c>
      <c r="P47" s="766">
        <v>10902601513.885576</v>
      </c>
      <c r="Q47" s="766">
        <v>14578386962.320772</v>
      </c>
      <c r="R47" s="766">
        <v>22045607399.250591</v>
      </c>
      <c r="S47" s="766">
        <v>23341405840.23407</v>
      </c>
      <c r="T47" s="766">
        <v>23501676219.686394</v>
      </c>
      <c r="U47" s="766">
        <v>25106400615.718254</v>
      </c>
      <c r="V47" s="766">
        <v>23044198487.593494</v>
      </c>
      <c r="W47" s="766">
        <v>21492679530.982628</v>
      </c>
      <c r="X47" s="766">
        <v>23052044812.563686</v>
      </c>
      <c r="Y47" s="766">
        <v>26524896398.236717</v>
      </c>
      <c r="Z47" s="766">
        <v>34143409062.043251</v>
      </c>
      <c r="AA47" s="766">
        <v>41003558915.698593</v>
      </c>
      <c r="AB47" s="766">
        <v>44821408830.935242</v>
      </c>
      <c r="AC47" s="766">
        <v>49855078905.409584</v>
      </c>
      <c r="AD47" s="766">
        <v>59319467680.81881</v>
      </c>
      <c r="AE47" s="766">
        <v>69911233237.787003</v>
      </c>
      <c r="AF47" s="766">
        <v>63435948447.169701</v>
      </c>
      <c r="AG47" s="766">
        <v>60851860676.609673</v>
      </c>
    </row>
    <row r="48" spans="1:33">
      <c r="A48" s="22">
        <v>40</v>
      </c>
      <c r="B48" s="22" t="s">
        <v>3</v>
      </c>
      <c r="C48" s="767">
        <v>19912651019.444447</v>
      </c>
      <c r="D48" s="767">
        <v>20150012487.951809</v>
      </c>
      <c r="E48" s="767">
        <v>20953258997.64706</v>
      </c>
      <c r="F48" s="767">
        <v>22205449736.312096</v>
      </c>
      <c r="G48" s="767">
        <v>24039095368.241322</v>
      </c>
      <c r="H48" s="767">
        <v>22921216919.616535</v>
      </c>
      <c r="I48" s="767">
        <v>24225993412.606041</v>
      </c>
      <c r="J48" s="767">
        <v>25213311971.105545</v>
      </c>
      <c r="K48" s="767">
        <v>27458670255.936676</v>
      </c>
      <c r="L48" s="767">
        <v>27024876290.932392</v>
      </c>
      <c r="M48" s="767">
        <v>28645093043.88298</v>
      </c>
      <c r="N48" s="767">
        <v>24317592011.301285</v>
      </c>
      <c r="O48" s="767">
        <v>22085593356.756756</v>
      </c>
      <c r="P48" s="767">
        <v>22366986629.729729</v>
      </c>
      <c r="Q48" s="767">
        <v>28447985651.351353</v>
      </c>
      <c r="R48" s="767">
        <v>30428273413.503887</v>
      </c>
      <c r="S48" s="767">
        <v>25017000000</v>
      </c>
      <c r="T48" s="767">
        <v>25364500000</v>
      </c>
      <c r="U48" s="767">
        <v>25736700000</v>
      </c>
      <c r="V48" s="767">
        <v>28364900000</v>
      </c>
      <c r="W48" s="767">
        <v>30565800000</v>
      </c>
      <c r="X48" s="767">
        <v>31682300000</v>
      </c>
      <c r="Y48" s="767">
        <v>33590500000</v>
      </c>
      <c r="Z48" s="767">
        <v>35901100000</v>
      </c>
      <c r="AA48" s="767">
        <v>38203400000</v>
      </c>
      <c r="AB48" s="767">
        <v>42643600000</v>
      </c>
      <c r="AC48" s="767">
        <v>52742700000</v>
      </c>
      <c r="AD48" s="767">
        <v>58603800000</v>
      </c>
      <c r="AE48" s="767">
        <v>62704800000</v>
      </c>
      <c r="AF48" s="767"/>
      <c r="AG48" s="767"/>
    </row>
    <row r="49" spans="1:33">
      <c r="A49" s="22">
        <v>352</v>
      </c>
      <c r="B49" s="22" t="s">
        <v>63</v>
      </c>
      <c r="C49" s="768">
        <v>2154668652.4358101</v>
      </c>
      <c r="D49" s="768">
        <v>2087496321.6813529</v>
      </c>
      <c r="E49" s="768">
        <v>2159508647.9112101</v>
      </c>
      <c r="F49" s="768">
        <v>2161566291.6945467</v>
      </c>
      <c r="G49" s="768">
        <v>2278930564.5227785</v>
      </c>
      <c r="H49" s="768">
        <v>2431111803.5502157</v>
      </c>
      <c r="I49" s="768">
        <v>3091083730.1659737</v>
      </c>
      <c r="J49" s="768">
        <v>3703460582.7193227</v>
      </c>
      <c r="K49" s="768">
        <v>4280941089.0258098</v>
      </c>
      <c r="L49" s="768">
        <v>4565103299.4762993</v>
      </c>
      <c r="M49" s="768">
        <v>5589698801.4914103</v>
      </c>
      <c r="N49" s="768">
        <v>5769468848.9444008</v>
      </c>
      <c r="O49" s="768">
        <v>6913953328.6986694</v>
      </c>
      <c r="P49" s="768">
        <v>6588738977.9493179</v>
      </c>
      <c r="Q49" s="768">
        <v>7428356891.7851734</v>
      </c>
      <c r="R49" s="768">
        <v>9253734106.4371548</v>
      </c>
      <c r="S49" s="768">
        <v>9350212549.5689468</v>
      </c>
      <c r="T49" s="768">
        <v>8902508791.3601055</v>
      </c>
      <c r="U49" s="768">
        <v>9555640647.6964931</v>
      </c>
      <c r="V49" s="768">
        <v>9780443269.1285877</v>
      </c>
      <c r="W49" s="768">
        <v>9316693766.4256039</v>
      </c>
      <c r="X49" s="768">
        <v>9678423511.2256622</v>
      </c>
      <c r="Y49" s="768">
        <v>10558381390.943264</v>
      </c>
      <c r="Z49" s="768">
        <v>13324071623.102865</v>
      </c>
      <c r="AA49" s="768">
        <v>15822905640.312742</v>
      </c>
      <c r="AB49" s="768">
        <v>16995655476.280014</v>
      </c>
      <c r="AC49" s="768">
        <v>18424000903.048756</v>
      </c>
      <c r="AD49" s="768">
        <v>21835946094.609463</v>
      </c>
      <c r="AE49" s="768">
        <v>25371874080.611946</v>
      </c>
      <c r="AF49" s="768">
        <v>25039094267.139481</v>
      </c>
      <c r="AG49" s="768"/>
    </row>
    <row r="50" spans="1:33">
      <c r="A50" s="22">
        <v>316</v>
      </c>
      <c r="B50" s="22" t="s">
        <v>51</v>
      </c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769">
        <v>34879966070.8022</v>
      </c>
      <c r="N50" s="769">
        <v>25572480860.998055</v>
      </c>
      <c r="O50" s="769">
        <v>29954014371.706387</v>
      </c>
      <c r="P50" s="769">
        <v>34380681377.452065</v>
      </c>
      <c r="Q50" s="769">
        <v>41090290299.457397</v>
      </c>
      <c r="R50" s="769">
        <v>55257045968.349663</v>
      </c>
      <c r="S50" s="769">
        <v>62010597343.910133</v>
      </c>
      <c r="T50" s="769">
        <v>57134856184.424706</v>
      </c>
      <c r="U50" s="769">
        <v>61846680469.004051</v>
      </c>
      <c r="V50" s="769">
        <v>60192136074.690666</v>
      </c>
      <c r="W50" s="769">
        <v>56720835330.543716</v>
      </c>
      <c r="X50" s="769">
        <v>61842323433.268723</v>
      </c>
      <c r="Y50" s="769">
        <v>75276073338.54303</v>
      </c>
      <c r="Z50" s="769">
        <v>91357722712.609451</v>
      </c>
      <c r="AA50" s="769">
        <v>109524878646.67943</v>
      </c>
      <c r="AB50" s="769">
        <v>124548570554.00363</v>
      </c>
      <c r="AC50" s="769">
        <v>142610569174.65457</v>
      </c>
      <c r="AD50" s="769">
        <v>174214943906.6799</v>
      </c>
      <c r="AE50" s="769">
        <v>216084641518.27554</v>
      </c>
      <c r="AF50" s="769">
        <v>190204322509.57352</v>
      </c>
      <c r="AG50" s="769">
        <v>192151584569.26682</v>
      </c>
    </row>
    <row r="51" spans="1:33">
      <c r="A51" s="22">
        <v>390</v>
      </c>
      <c r="B51" s="22" t="s">
        <v>79</v>
      </c>
      <c r="C51" s="770">
        <v>69709363189.552689</v>
      </c>
      <c r="D51" s="770">
        <v>60373978718.027908</v>
      </c>
      <c r="E51" s="770">
        <v>58937160962.027748</v>
      </c>
      <c r="F51" s="770">
        <v>59204811372.33461</v>
      </c>
      <c r="G51" s="770">
        <v>57714597454.763145</v>
      </c>
      <c r="H51" s="770">
        <v>61203805065.871429</v>
      </c>
      <c r="I51" s="770">
        <v>86365467803.732544</v>
      </c>
      <c r="J51" s="770">
        <v>107366343581.42186</v>
      </c>
      <c r="K51" s="770">
        <v>113230780658.09999</v>
      </c>
      <c r="L51" s="770">
        <v>110058411534.56813</v>
      </c>
      <c r="M51" s="770">
        <v>135838154025.14301</v>
      </c>
      <c r="N51" s="770">
        <v>136693973266.6302</v>
      </c>
      <c r="O51" s="770">
        <v>150195490465.69806</v>
      </c>
      <c r="P51" s="770">
        <v>140626629034.99435</v>
      </c>
      <c r="Q51" s="770">
        <v>153593214476.6217</v>
      </c>
      <c r="R51" s="770">
        <v>181983614165.3577</v>
      </c>
      <c r="S51" s="770">
        <v>184435821822.13254</v>
      </c>
      <c r="T51" s="770">
        <v>170435460670.75479</v>
      </c>
      <c r="U51" s="770">
        <v>173653295128.93982</v>
      </c>
      <c r="V51" s="770">
        <v>173944697686.41953</v>
      </c>
      <c r="W51" s="770">
        <v>160082641560.78732</v>
      </c>
      <c r="X51" s="770">
        <v>160476161868.6019</v>
      </c>
      <c r="Y51" s="770">
        <v>173880831443.88007</v>
      </c>
      <c r="Z51" s="770">
        <v>212621855882.93335</v>
      </c>
      <c r="AA51" s="770">
        <v>244727978020.58401</v>
      </c>
      <c r="AB51" s="770">
        <v>257675536234.49411</v>
      </c>
      <c r="AC51" s="770">
        <v>274376889678.11151</v>
      </c>
      <c r="AD51" s="770">
        <v>311417601998.64062</v>
      </c>
      <c r="AE51" s="770">
        <v>341466969261.27814</v>
      </c>
      <c r="AF51" s="770">
        <v>308925230419.68933</v>
      </c>
      <c r="AG51" s="770">
        <v>310404822126.30518</v>
      </c>
    </row>
    <row r="52" spans="1:33">
      <c r="A52" s="22">
        <v>522</v>
      </c>
      <c r="B52" s="22" t="s">
        <v>111</v>
      </c>
      <c r="C52" s="771"/>
      <c r="D52" s="771"/>
      <c r="E52" s="771"/>
      <c r="F52" s="771"/>
      <c r="G52" s="771"/>
      <c r="H52" s="771">
        <v>340989541.52074295</v>
      </c>
      <c r="I52" s="771"/>
      <c r="J52" s="771">
        <v>373371753.0169403</v>
      </c>
      <c r="K52" s="771">
        <v>395794554.21667492</v>
      </c>
      <c r="L52" s="771">
        <v>409220103.32688177</v>
      </c>
      <c r="M52" s="771">
        <v>452328104.99210888</v>
      </c>
      <c r="N52" s="771">
        <v>462422016.63020182</v>
      </c>
      <c r="O52" s="771">
        <v>478058323.5877226</v>
      </c>
      <c r="P52" s="771">
        <v>466048487.476264</v>
      </c>
      <c r="Q52" s="771">
        <v>491689239.99514782</v>
      </c>
      <c r="R52" s="771">
        <v>497723980.07645375</v>
      </c>
      <c r="S52" s="771">
        <v>494004667.07529461</v>
      </c>
      <c r="T52" s="771">
        <v>502675561.68162787</v>
      </c>
      <c r="U52" s="771">
        <v>514267889.43501383</v>
      </c>
      <c r="V52" s="771">
        <v>536080169.08553356</v>
      </c>
      <c r="W52" s="771">
        <v>551230861.85650539</v>
      </c>
      <c r="X52" s="771">
        <v>572417440.82016194</v>
      </c>
      <c r="Y52" s="771">
        <v>591122039.60139763</v>
      </c>
      <c r="Z52" s="771">
        <v>622044665.51504886</v>
      </c>
      <c r="AA52" s="771">
        <v>666072101.77750516</v>
      </c>
      <c r="AB52" s="771">
        <v>708843636.93654656</v>
      </c>
      <c r="AC52" s="771">
        <v>768873684.03283799</v>
      </c>
      <c r="AD52" s="771">
        <v>847918929.10798383</v>
      </c>
      <c r="AE52" s="771">
        <v>982534421.93100417</v>
      </c>
      <c r="AF52" s="771">
        <v>1049054416.7543509</v>
      </c>
      <c r="AG52" s="771"/>
    </row>
    <row r="53" spans="1:33">
      <c r="A53" s="22">
        <v>54</v>
      </c>
      <c r="B53" s="22" t="s">
        <v>9</v>
      </c>
      <c r="C53" s="772">
        <v>59099998.956256375</v>
      </c>
      <c r="D53" s="772">
        <v>66218517.349057324</v>
      </c>
      <c r="E53" s="772">
        <v>72051850.579370275</v>
      </c>
      <c r="F53" s="772">
        <v>79925924.514383182</v>
      </c>
      <c r="G53" s="772">
        <v>89848146.561372653</v>
      </c>
      <c r="H53" s="772">
        <v>98585183.444108054</v>
      </c>
      <c r="I53" s="772">
        <v>112074072.09477457</v>
      </c>
      <c r="J53" s="772">
        <v>126348145.91675942</v>
      </c>
      <c r="K53" s="772">
        <v>143766658.20172998</v>
      </c>
      <c r="L53" s="772">
        <v>153374077.29131609</v>
      </c>
      <c r="M53" s="772">
        <v>166322225.21079171</v>
      </c>
      <c r="N53" s="772">
        <v>180437033.85040408</v>
      </c>
      <c r="O53" s="772">
        <v>191759261.79859447</v>
      </c>
      <c r="P53" s="772">
        <v>200418509.05307406</v>
      </c>
      <c r="Q53" s="772">
        <v>215459267.30596322</v>
      </c>
      <c r="R53" s="772">
        <v>224037021.22854868</v>
      </c>
      <c r="S53" s="772">
        <v>236444440.26868501</v>
      </c>
      <c r="T53" s="772">
        <v>245781477.14082405</v>
      </c>
      <c r="U53" s="772">
        <v>258440730.2505869</v>
      </c>
      <c r="V53" s="772">
        <v>267740736.01226881</v>
      </c>
      <c r="W53" s="772">
        <v>271166661.87769067</v>
      </c>
      <c r="X53" s="772">
        <v>266151847.15144071</v>
      </c>
      <c r="Y53" s="772">
        <v>254855551.0546442</v>
      </c>
      <c r="Z53" s="772">
        <v>262833328.69152933</v>
      </c>
      <c r="AA53" s="772">
        <v>285218513.4813779</v>
      </c>
      <c r="AB53" s="772">
        <v>299255555.55555552</v>
      </c>
      <c r="AC53" s="772">
        <v>315659259.25925922</v>
      </c>
      <c r="AD53" s="772">
        <v>344366666.66666663</v>
      </c>
      <c r="AE53" s="772">
        <v>374422222.22222221</v>
      </c>
      <c r="AF53" s="772">
        <v>375748148.14814812</v>
      </c>
      <c r="AG53" s="772">
        <v>382781481.48148143</v>
      </c>
    </row>
    <row r="54" spans="1:33">
      <c r="A54" s="22">
        <v>42</v>
      </c>
      <c r="B54" s="22" t="s">
        <v>5</v>
      </c>
      <c r="C54" s="773">
        <v>6631000064</v>
      </c>
      <c r="D54" s="773">
        <v>7266999808</v>
      </c>
      <c r="E54" s="773">
        <v>7964000256</v>
      </c>
      <c r="F54" s="773">
        <v>8622000128</v>
      </c>
      <c r="G54" s="773">
        <v>10330399744</v>
      </c>
      <c r="H54" s="773">
        <v>5044579958.6713142</v>
      </c>
      <c r="I54" s="773">
        <v>6122128260.0858793</v>
      </c>
      <c r="J54" s="773">
        <v>5827050853.1356201</v>
      </c>
      <c r="K54" s="773">
        <v>5374300248.4901056</v>
      </c>
      <c r="L54" s="773">
        <v>6686592726.81388</v>
      </c>
      <c r="M54" s="773">
        <v>7073674721.5933752</v>
      </c>
      <c r="N54" s="773">
        <v>9724379019.6203556</v>
      </c>
      <c r="O54" s="773">
        <v>11277694536.948751</v>
      </c>
      <c r="P54" s="773">
        <v>12976408000</v>
      </c>
      <c r="Q54" s="773">
        <v>14511134920.63492</v>
      </c>
      <c r="R54" s="773">
        <v>16358496124.031008</v>
      </c>
      <c r="S54" s="773">
        <v>18131813000.628086</v>
      </c>
      <c r="T54" s="773">
        <v>19593449903.255054</v>
      </c>
      <c r="U54" s="773">
        <v>21171235997.850796</v>
      </c>
      <c r="V54" s="773">
        <v>21709041189.324375</v>
      </c>
      <c r="W54" s="773">
        <v>23996656675.833515</v>
      </c>
      <c r="X54" s="773">
        <v>24894907435.144691</v>
      </c>
      <c r="Y54" s="773">
        <v>26570402718.796028</v>
      </c>
      <c r="Z54" s="773">
        <v>21268012747.270901</v>
      </c>
      <c r="AA54" s="773">
        <v>22039232609.955318</v>
      </c>
      <c r="AB54" s="773">
        <v>34004033803.94379</v>
      </c>
      <c r="AC54" s="773">
        <v>35952845582.502853</v>
      </c>
      <c r="AD54" s="773">
        <v>41314666868.564499</v>
      </c>
      <c r="AE54" s="773">
        <v>45498608625.36805</v>
      </c>
      <c r="AF54" s="773">
        <v>46597346434.618477</v>
      </c>
      <c r="AG54" s="773">
        <v>51576859661.016953</v>
      </c>
    </row>
    <row r="55" spans="1:33">
      <c r="A55" s="22">
        <v>490</v>
      </c>
      <c r="B55" s="22" t="s">
        <v>104</v>
      </c>
      <c r="C55" s="762">
        <v>14394927492.96467</v>
      </c>
      <c r="D55" s="762">
        <v>12537821039.825228</v>
      </c>
      <c r="E55" s="762">
        <v>13651667370.54657</v>
      </c>
      <c r="F55" s="762">
        <v>11006712649.21748</v>
      </c>
      <c r="G55" s="762">
        <v>7857729192.856287</v>
      </c>
      <c r="H55" s="762">
        <v>7195042615.8417606</v>
      </c>
      <c r="I55" s="762">
        <v>8095367168.1617813</v>
      </c>
      <c r="J55" s="762">
        <v>7661625472.5118895</v>
      </c>
      <c r="K55" s="762">
        <v>8861299976.6885834</v>
      </c>
      <c r="L55" s="762">
        <v>9021862775.2544613</v>
      </c>
      <c r="M55" s="762">
        <v>9349764580.3519669</v>
      </c>
      <c r="N55" s="762">
        <v>9087965281.5280666</v>
      </c>
      <c r="O55" s="762">
        <v>8206227134.0085754</v>
      </c>
      <c r="P55" s="762">
        <v>10707792340.027655</v>
      </c>
      <c r="Q55" s="762">
        <v>5820383305.5466805</v>
      </c>
      <c r="R55" s="762">
        <v>5643439262.2173452</v>
      </c>
      <c r="S55" s="762">
        <v>5771454883.8303852</v>
      </c>
      <c r="T55" s="762">
        <v>6090840526.8698959</v>
      </c>
      <c r="U55" s="762">
        <v>6217806274.7630186</v>
      </c>
      <c r="V55" s="762">
        <v>4711272704</v>
      </c>
      <c r="W55" s="762">
        <v>4305797175.652174</v>
      </c>
      <c r="X55" s="762">
        <v>4691816706.5600004</v>
      </c>
      <c r="Y55" s="762">
        <v>5547714815.198349</v>
      </c>
      <c r="Z55" s="762">
        <v>5673197493.8434496</v>
      </c>
      <c r="AA55" s="762">
        <v>6569986939.6204319</v>
      </c>
      <c r="AB55" s="762">
        <v>7103539716.5694609</v>
      </c>
      <c r="AC55" s="762">
        <v>8543323220.4141588</v>
      </c>
      <c r="AD55" s="762">
        <v>9977079382.5361423</v>
      </c>
      <c r="AE55" s="762">
        <v>11668379641.832628</v>
      </c>
      <c r="AF55" s="762">
        <v>11204139344.768396</v>
      </c>
      <c r="AG55" s="762">
        <v>13145120704.878008</v>
      </c>
    </row>
    <row r="56" spans="1:33">
      <c r="A56" s="22">
        <v>816</v>
      </c>
      <c r="B56" s="22" t="s">
        <v>171</v>
      </c>
      <c r="C56" s="908"/>
      <c r="D56" s="908"/>
      <c r="E56" s="908"/>
      <c r="F56" s="908"/>
      <c r="G56" s="908"/>
      <c r="H56" s="908">
        <v>14094688427.670771</v>
      </c>
      <c r="I56" s="908">
        <v>26336617864.201801</v>
      </c>
      <c r="J56" s="908">
        <v>36658108168.747383</v>
      </c>
      <c r="K56" s="908">
        <v>25423812494.360123</v>
      </c>
      <c r="L56" s="908">
        <v>6293304847.1221447</v>
      </c>
      <c r="M56" s="908">
        <v>6471740486.3200798</v>
      </c>
      <c r="N56" s="908">
        <v>9613369553.8506069</v>
      </c>
      <c r="O56" s="908">
        <v>9866990096.3187141</v>
      </c>
      <c r="P56" s="908">
        <v>13180954014.067999</v>
      </c>
      <c r="Q56" s="908">
        <v>16286434094.018452</v>
      </c>
      <c r="R56" s="908">
        <v>20736163915.244923</v>
      </c>
      <c r="S56" s="908">
        <v>24657470331.59621</v>
      </c>
      <c r="T56" s="908">
        <v>26843701136.726643</v>
      </c>
      <c r="U56" s="908">
        <v>27209601995.827557</v>
      </c>
      <c r="V56" s="908">
        <v>28683658004.771004</v>
      </c>
      <c r="W56" s="908">
        <v>31172517272.20982</v>
      </c>
      <c r="X56" s="908">
        <v>32506754577.082806</v>
      </c>
      <c r="Y56" s="908">
        <v>35075432958.658981</v>
      </c>
      <c r="Z56" s="908">
        <v>39541252948.255257</v>
      </c>
      <c r="AA56" s="908">
        <v>45439397789.353325</v>
      </c>
      <c r="AB56" s="908">
        <v>52931104515.599716</v>
      </c>
      <c r="AC56" s="908">
        <v>60933124863.182755</v>
      </c>
      <c r="AD56" s="908">
        <v>71111309691.061676</v>
      </c>
      <c r="AE56" s="908">
        <v>90273764945.74855</v>
      </c>
      <c r="AF56" s="908">
        <v>97146622927.772247</v>
      </c>
      <c r="AG56" s="908">
        <v>103571787096.09955</v>
      </c>
    </row>
    <row r="57" spans="1:33">
      <c r="A57" s="22">
        <v>130</v>
      </c>
      <c r="B57" s="22" t="s">
        <v>27</v>
      </c>
      <c r="C57" s="774">
        <v>11900704785.846144</v>
      </c>
      <c r="D57" s="774">
        <v>13974698911.6703</v>
      </c>
      <c r="E57" s="774">
        <v>13194324575.428478</v>
      </c>
      <c r="F57" s="774">
        <v>11188362805.59449</v>
      </c>
      <c r="G57" s="774">
        <v>11386458404.700878</v>
      </c>
      <c r="H57" s="774">
        <v>11840675754.329596</v>
      </c>
      <c r="I57" s="774">
        <v>10309942622.095327</v>
      </c>
      <c r="J57" s="774">
        <v>9099361934.1367474</v>
      </c>
      <c r="K57" s="774">
        <v>9098361006.331995</v>
      </c>
      <c r="L57" s="774">
        <v>9527567454.7351017</v>
      </c>
      <c r="M57" s="774">
        <v>10355963786.80084</v>
      </c>
      <c r="N57" s="774">
        <v>11348439539.977884</v>
      </c>
      <c r="O57" s="774">
        <v>11996750826.476181</v>
      </c>
      <c r="P57" s="774">
        <v>15063220705.477379</v>
      </c>
      <c r="Q57" s="774">
        <v>18581908127.479988</v>
      </c>
      <c r="R57" s="774">
        <v>20205685541.421135</v>
      </c>
      <c r="S57" s="774">
        <v>21278200686.280975</v>
      </c>
      <c r="T57" s="774">
        <v>23647336355.155209</v>
      </c>
      <c r="U57" s="774">
        <v>23266151902.576019</v>
      </c>
      <c r="V57" s="774">
        <v>16681996553.868063</v>
      </c>
      <c r="W57" s="774">
        <v>15941641913.46764</v>
      </c>
      <c r="X57" s="774">
        <v>21250000896</v>
      </c>
      <c r="Y57" s="774">
        <v>24899481000</v>
      </c>
      <c r="Z57" s="774">
        <v>28635909000</v>
      </c>
      <c r="AA57" s="774">
        <v>32642225000</v>
      </c>
      <c r="AB57" s="774">
        <v>37186942000</v>
      </c>
      <c r="AC57" s="774">
        <v>41705000000</v>
      </c>
      <c r="AD57" s="774">
        <v>45503600000</v>
      </c>
      <c r="AE57" s="774">
        <v>54208500000</v>
      </c>
      <c r="AF57" s="774">
        <v>52021900000</v>
      </c>
      <c r="AG57" s="774">
        <v>58910000000</v>
      </c>
    </row>
    <row r="58" spans="1:33">
      <c r="A58" s="22">
        <v>651</v>
      </c>
      <c r="B58" s="22" t="s">
        <v>136</v>
      </c>
      <c r="C58" s="775">
        <v>22912499711.761284</v>
      </c>
      <c r="D58" s="775">
        <v>23405404411.876579</v>
      </c>
      <c r="E58" s="775">
        <v>25592366135.426311</v>
      </c>
      <c r="F58" s="775">
        <v>28137368590.493896</v>
      </c>
      <c r="G58" s="775">
        <v>30642873685.563423</v>
      </c>
      <c r="H58" s="775">
        <v>34689560501.840912</v>
      </c>
      <c r="I58" s="775">
        <v>35880262453.406448</v>
      </c>
      <c r="J58" s="775">
        <v>40507934104.27121</v>
      </c>
      <c r="K58" s="775">
        <v>35044633281.416527</v>
      </c>
      <c r="L58" s="775">
        <v>39648442465.408173</v>
      </c>
      <c r="M58" s="775">
        <v>43130415154.460548</v>
      </c>
      <c r="N58" s="775">
        <v>36970555121.628662</v>
      </c>
      <c r="O58" s="775">
        <v>41855483504.025871</v>
      </c>
      <c r="P58" s="775">
        <v>46578631212.612488</v>
      </c>
      <c r="Q58" s="775">
        <v>51897983715.558434</v>
      </c>
      <c r="R58" s="775">
        <v>60159244485.208168</v>
      </c>
      <c r="S58" s="775">
        <v>67629717779.735382</v>
      </c>
      <c r="T58" s="775">
        <v>78436575743.857147</v>
      </c>
      <c r="U58" s="775">
        <v>84828807269.542892</v>
      </c>
      <c r="V58" s="775">
        <v>90710703939.460953</v>
      </c>
      <c r="W58" s="775">
        <v>99838540997.320999</v>
      </c>
      <c r="X58" s="775">
        <v>97632008050.942398</v>
      </c>
      <c r="Y58" s="775">
        <v>87850680572.78952</v>
      </c>
      <c r="Z58" s="775">
        <v>82923680621.543259</v>
      </c>
      <c r="AA58" s="775">
        <v>78845185709.411713</v>
      </c>
      <c r="AB58" s="775">
        <v>89685724889.16275</v>
      </c>
      <c r="AC58" s="775">
        <v>107484034648.24513</v>
      </c>
      <c r="AD58" s="775">
        <v>130472894494.8102</v>
      </c>
      <c r="AE58" s="775">
        <v>162836363636.36365</v>
      </c>
      <c r="AF58" s="775">
        <v>188984088127.29498</v>
      </c>
      <c r="AG58" s="775">
        <v>218912422332.07855</v>
      </c>
    </row>
    <row r="59" spans="1:33">
      <c r="A59" s="22">
        <v>411</v>
      </c>
      <c r="B59" s="22" t="s">
        <v>84</v>
      </c>
      <c r="C59" s="777"/>
      <c r="D59" s="777"/>
      <c r="E59" s="777"/>
      <c r="F59" s="777"/>
      <c r="G59" s="777"/>
      <c r="H59" s="777">
        <v>79591332.161315188</v>
      </c>
      <c r="I59" s="777">
        <v>98848991.082235381</v>
      </c>
      <c r="J59" s="777">
        <v>119715252.67601509</v>
      </c>
      <c r="K59" s="777">
        <v>127202126.136158</v>
      </c>
      <c r="L59" s="777">
        <v>112006699.29737985</v>
      </c>
      <c r="M59" s="777">
        <v>132136515.30680501</v>
      </c>
      <c r="N59" s="777">
        <v>130595413.30627269</v>
      </c>
      <c r="O59" s="777">
        <v>154184144.87833109</v>
      </c>
      <c r="P59" s="777">
        <v>152130369.83249527</v>
      </c>
      <c r="Q59" s="777">
        <v>125745167.44257492</v>
      </c>
      <c r="R59" s="777">
        <v>163980056.85639942</v>
      </c>
      <c r="S59" s="777">
        <v>259074043.42337513</v>
      </c>
      <c r="T59" s="777">
        <v>497741982.0271368</v>
      </c>
      <c r="U59" s="777">
        <v>455800102.92369741</v>
      </c>
      <c r="V59" s="777">
        <v>872015592.00909531</v>
      </c>
      <c r="W59" s="777">
        <v>1254223037.3370938</v>
      </c>
      <c r="X59" s="777">
        <v>1736112613.0646143</v>
      </c>
      <c r="Y59" s="777">
        <v>2146760325.0789335</v>
      </c>
      <c r="Z59" s="777">
        <v>2952360964.2701688</v>
      </c>
      <c r="AA59" s="777">
        <v>5240842353.4641714</v>
      </c>
      <c r="AB59" s="777">
        <v>8217298403.8068123</v>
      </c>
      <c r="AC59" s="777">
        <v>9603185319.304863</v>
      </c>
      <c r="AD59" s="777">
        <v>12574935589.671356</v>
      </c>
      <c r="AE59" s="777">
        <v>18423399315.278801</v>
      </c>
      <c r="AF59" s="777">
        <v>12222203056.090206</v>
      </c>
      <c r="AG59" s="777">
        <v>14006505450.485285</v>
      </c>
    </row>
    <row r="60" spans="1:33">
      <c r="A60" s="22">
        <v>531</v>
      </c>
      <c r="B60" s="22" t="s">
        <v>113</v>
      </c>
      <c r="C60" s="778"/>
      <c r="D60" s="778"/>
      <c r="E60" s="778"/>
      <c r="F60" s="778"/>
      <c r="G60" s="778"/>
      <c r="H60" s="778"/>
      <c r="I60" s="778"/>
      <c r="J60" s="778"/>
      <c r="K60" s="778"/>
      <c r="L60" s="778"/>
      <c r="M60" s="778"/>
      <c r="N60" s="778"/>
      <c r="O60" s="778">
        <v>477101651.64837557</v>
      </c>
      <c r="P60" s="778">
        <v>467876293.70682859</v>
      </c>
      <c r="Q60" s="778">
        <v>531688311.6883117</v>
      </c>
      <c r="R60" s="778">
        <v>578015625</v>
      </c>
      <c r="S60" s="778">
        <v>693535954.19006717</v>
      </c>
      <c r="T60" s="778">
        <v>686494476.13798833</v>
      </c>
      <c r="U60" s="778">
        <v>745526149.49944985</v>
      </c>
      <c r="V60" s="778">
        <v>688921325.71204281</v>
      </c>
      <c r="W60" s="778">
        <v>633600000</v>
      </c>
      <c r="X60" s="778">
        <v>687595191.09305191</v>
      </c>
      <c r="Y60" s="778">
        <v>675480056.97397947</v>
      </c>
      <c r="Z60" s="778">
        <v>870232527.97613466</v>
      </c>
      <c r="AA60" s="778">
        <v>1109048050.7706256</v>
      </c>
      <c r="AB60" s="778">
        <v>1098393404.4339175</v>
      </c>
      <c r="AC60" s="778">
        <v>1211186991.8699186</v>
      </c>
      <c r="AD60" s="778">
        <v>1317983739.8373983</v>
      </c>
      <c r="AE60" s="778">
        <v>1380162601.6260164</v>
      </c>
      <c r="AF60" s="778">
        <v>1856715447.1544716</v>
      </c>
      <c r="AG60" s="778">
        <v>2117008130.0813007</v>
      </c>
    </row>
    <row r="61" spans="1:33">
      <c r="A61" s="22">
        <v>366</v>
      </c>
      <c r="B61" s="22" t="s">
        <v>68</v>
      </c>
      <c r="C61" s="779"/>
      <c r="D61" s="779"/>
      <c r="E61" s="779"/>
      <c r="F61" s="779"/>
      <c r="G61" s="779"/>
      <c r="H61" s="779"/>
      <c r="I61" s="779"/>
      <c r="J61" s="779">
        <v>3990490894.1192188</v>
      </c>
      <c r="K61" s="779">
        <v>4664756287.8252802</v>
      </c>
      <c r="L61" s="779">
        <v>5124453537.0008602</v>
      </c>
      <c r="M61" s="779">
        <v>5009758611.6718903</v>
      </c>
      <c r="N61" s="779">
        <v>4784154516.1209278</v>
      </c>
      <c r="O61" s="779">
        <v>3986615193.9467835</v>
      </c>
      <c r="P61" s="779">
        <v>3859654597.8570251</v>
      </c>
      <c r="Q61" s="779">
        <v>3964933826.4462948</v>
      </c>
      <c r="R61" s="779">
        <v>4353053090.8720579</v>
      </c>
      <c r="S61" s="779">
        <v>4728686725.957942</v>
      </c>
      <c r="T61" s="779">
        <v>5051702326.9216919</v>
      </c>
      <c r="U61" s="779">
        <v>5598168503.3771772</v>
      </c>
      <c r="V61" s="779">
        <v>5705472609.7312012</v>
      </c>
      <c r="W61" s="779">
        <v>5675782344.973794</v>
      </c>
      <c r="X61" s="779">
        <v>6240081240.3455582</v>
      </c>
      <c r="Y61" s="779">
        <v>7324477178.8728504</v>
      </c>
      <c r="Z61" s="779">
        <v>9845350163.1015263</v>
      </c>
      <c r="AA61" s="779">
        <v>12031313315.761061</v>
      </c>
      <c r="AB61" s="779">
        <v>13903289149.541473</v>
      </c>
      <c r="AC61" s="779">
        <v>16604835552.703354</v>
      </c>
      <c r="AD61" s="779">
        <v>21383914640.545742</v>
      </c>
      <c r="AE61" s="779">
        <v>23517187207.780064</v>
      </c>
      <c r="AF61" s="779">
        <v>19083960202.540642</v>
      </c>
      <c r="AG61" s="779">
        <v>18673908194.083549</v>
      </c>
    </row>
    <row r="62" spans="1:33">
      <c r="A62" s="22">
        <v>530</v>
      </c>
      <c r="B62" s="22" t="s">
        <v>112</v>
      </c>
      <c r="C62" s="780"/>
      <c r="D62" s="780">
        <v>7269140970.8369942</v>
      </c>
      <c r="E62" s="780">
        <v>7649012444.1108341</v>
      </c>
      <c r="F62" s="780">
        <v>8502744998.1074057</v>
      </c>
      <c r="G62" s="780">
        <v>8034754137.6223469</v>
      </c>
      <c r="H62" s="780">
        <v>9408755194.7956944</v>
      </c>
      <c r="I62" s="780">
        <v>9773749423.8611794</v>
      </c>
      <c r="J62" s="780">
        <v>10447188525.306181</v>
      </c>
      <c r="K62" s="780">
        <v>10825913263.638947</v>
      </c>
      <c r="L62" s="780">
        <v>11389270973.501591</v>
      </c>
      <c r="M62" s="780">
        <v>12082576935.269121</v>
      </c>
      <c r="N62" s="780">
        <v>13361446739.171062</v>
      </c>
      <c r="O62" s="780">
        <v>14098012280.753531</v>
      </c>
      <c r="P62" s="780">
        <v>8763557094.0718842</v>
      </c>
      <c r="Q62" s="780">
        <v>6875170145.307725</v>
      </c>
      <c r="R62" s="780">
        <v>7605674115.7515554</v>
      </c>
      <c r="S62" s="780">
        <v>8482883272.6188812</v>
      </c>
      <c r="T62" s="780">
        <v>8890826692.7928238</v>
      </c>
      <c r="U62" s="780">
        <v>8069437010.9536695</v>
      </c>
      <c r="V62" s="780">
        <v>7827068144.6749868</v>
      </c>
      <c r="W62" s="780">
        <v>8179533779.1745958</v>
      </c>
      <c r="X62" s="780">
        <v>8168590426.7295074</v>
      </c>
      <c r="Y62" s="780">
        <v>7789548644.4027338</v>
      </c>
      <c r="Z62" s="780">
        <v>8556184065.6850195</v>
      </c>
      <c r="AA62" s="780">
        <v>10053969882.431541</v>
      </c>
      <c r="AB62" s="780">
        <v>12306605472.932846</v>
      </c>
      <c r="AC62" s="780">
        <v>15164485977.360754</v>
      </c>
      <c r="AD62" s="780">
        <v>19552720846.344948</v>
      </c>
      <c r="AE62" s="780">
        <v>26642461516.188652</v>
      </c>
      <c r="AF62" s="780">
        <v>31962250072.00362</v>
      </c>
      <c r="AG62" s="780">
        <v>29717009195.63459</v>
      </c>
    </row>
    <row r="63" spans="1:33">
      <c r="A63" s="22">
        <v>860</v>
      </c>
      <c r="B63" s="22" t="s">
        <v>197</v>
      </c>
      <c r="C63" s="892"/>
      <c r="D63" s="892"/>
      <c r="E63" s="892"/>
      <c r="F63" s="892"/>
      <c r="G63" s="892"/>
      <c r="H63" s="892"/>
      <c r="I63" s="892"/>
      <c r="J63" s="892"/>
      <c r="K63" s="892"/>
      <c r="L63" s="892"/>
      <c r="M63" s="892"/>
      <c r="N63" s="892"/>
      <c r="O63" s="892"/>
      <c r="P63" s="892"/>
      <c r="Q63" s="892"/>
      <c r="R63" s="892"/>
      <c r="S63" s="892"/>
      <c r="T63" s="892"/>
      <c r="U63" s="892"/>
      <c r="V63" s="892"/>
      <c r="W63" s="892">
        <v>316200000</v>
      </c>
      <c r="X63" s="892">
        <v>277300000</v>
      </c>
      <c r="Y63" s="892">
        <v>284100000</v>
      </c>
      <c r="Z63" s="892">
        <v>297800000</v>
      </c>
      <c r="AA63" s="892">
        <v>309300000</v>
      </c>
      <c r="AB63" s="892">
        <v>331915908.77193356</v>
      </c>
      <c r="AC63" s="892">
        <v>326812745.5415746</v>
      </c>
      <c r="AD63" s="892">
        <v>397567776.19469774</v>
      </c>
      <c r="AE63" s="892">
        <v>497918858.2063275</v>
      </c>
      <c r="AF63" s="892">
        <v>598000000</v>
      </c>
      <c r="AG63" s="892">
        <v>701000000</v>
      </c>
    </row>
    <row r="64" spans="1:33">
      <c r="A64" s="22">
        <v>950</v>
      </c>
      <c r="B64" s="22" t="s">
        <v>184</v>
      </c>
      <c r="C64" s="781">
        <v>1202567354.5232275</v>
      </c>
      <c r="D64" s="781">
        <v>1235899836.1806693</v>
      </c>
      <c r="E64" s="781">
        <v>1194015409.6954098</v>
      </c>
      <c r="F64" s="781">
        <v>1123107240.9046216</v>
      </c>
      <c r="G64" s="781">
        <v>1177997413.6338444</v>
      </c>
      <c r="H64" s="781">
        <v>1141210124.8266296</v>
      </c>
      <c r="I64" s="781">
        <v>1290228616.8240798</v>
      </c>
      <c r="J64" s="781">
        <v>1177908191.9768469</v>
      </c>
      <c r="K64" s="781">
        <v>1109976927.9172204</v>
      </c>
      <c r="L64" s="781">
        <v>1182686577.2264545</v>
      </c>
      <c r="M64" s="781">
        <v>1337024782.2270241</v>
      </c>
      <c r="N64" s="781">
        <v>1383843860.1246951</v>
      </c>
      <c r="O64" s="781">
        <v>1531803060.5455756</v>
      </c>
      <c r="P64" s="781">
        <v>1635426125.3080814</v>
      </c>
      <c r="Q64" s="781">
        <v>1825285158.117615</v>
      </c>
      <c r="R64" s="781">
        <v>1970347720.9699209</v>
      </c>
      <c r="S64" s="781">
        <v>2129266728.4258533</v>
      </c>
      <c r="T64" s="781">
        <v>2093994597.215488</v>
      </c>
      <c r="U64" s="781">
        <v>1656784779.544997</v>
      </c>
      <c r="V64" s="781">
        <v>1942170999.1876523</v>
      </c>
      <c r="W64" s="781">
        <v>1684109743.4933758</v>
      </c>
      <c r="X64" s="781">
        <v>1660102345.6030922</v>
      </c>
      <c r="Y64" s="781">
        <v>1842691481.0919566</v>
      </c>
      <c r="Z64" s="781">
        <v>2315935752.7165313</v>
      </c>
      <c r="AA64" s="781">
        <v>2727507212.9255624</v>
      </c>
      <c r="AB64" s="781">
        <v>3006725014.7841511</v>
      </c>
      <c r="AC64" s="781">
        <v>3103099942.2299247</v>
      </c>
      <c r="AD64" s="781">
        <v>3379863773.6546874</v>
      </c>
      <c r="AE64" s="781">
        <v>3565203889.585947</v>
      </c>
      <c r="AF64" s="781">
        <v>2824829171.1352844</v>
      </c>
      <c r="AG64" s="781">
        <v>3009445285.1849923</v>
      </c>
    </row>
    <row r="65" spans="1:33">
      <c r="A65" s="22">
        <v>375</v>
      </c>
      <c r="B65" s="22" t="s">
        <v>76</v>
      </c>
      <c r="C65" s="782">
        <v>52980554670.066948</v>
      </c>
      <c r="D65" s="782">
        <v>51760815651.694679</v>
      </c>
      <c r="E65" s="782">
        <v>52142592821.018875</v>
      </c>
      <c r="F65" s="782">
        <v>50249786507.258759</v>
      </c>
      <c r="G65" s="782">
        <v>52082508903.838547</v>
      </c>
      <c r="H65" s="782">
        <v>54941481197.237144</v>
      </c>
      <c r="I65" s="782">
        <v>72268355618.109314</v>
      </c>
      <c r="J65" s="782">
        <v>89987826322.196671</v>
      </c>
      <c r="K65" s="782">
        <v>107110163468.37242</v>
      </c>
      <c r="L65" s="782">
        <v>116693917140.08591</v>
      </c>
      <c r="M65" s="782">
        <v>138844658684.49698</v>
      </c>
      <c r="N65" s="782">
        <v>125243346566.68137</v>
      </c>
      <c r="O65" s="782">
        <v>110128749668.17096</v>
      </c>
      <c r="P65" s="782">
        <v>87322785468.928909</v>
      </c>
      <c r="Q65" s="782">
        <v>100561183836.08424</v>
      </c>
      <c r="R65" s="782">
        <v>130699891067.53812</v>
      </c>
      <c r="S65" s="782">
        <v>128222883769.09138</v>
      </c>
      <c r="T65" s="782">
        <v>122909174206.84917</v>
      </c>
      <c r="U65" s="782">
        <v>129670672007.12061</v>
      </c>
      <c r="V65" s="782">
        <v>130217344981.88792</v>
      </c>
      <c r="W65" s="782">
        <v>121715496591.11848</v>
      </c>
      <c r="X65" s="782">
        <v>124561968680.08949</v>
      </c>
      <c r="Y65" s="782">
        <v>135084697910.78487</v>
      </c>
      <c r="Z65" s="782">
        <v>164126410835.21445</v>
      </c>
      <c r="AA65" s="782">
        <v>188918068205.09955</v>
      </c>
      <c r="AB65" s="782">
        <v>195626274685.37036</v>
      </c>
      <c r="AC65" s="782">
        <v>207796362249.58948</v>
      </c>
      <c r="AD65" s="782">
        <v>245952167831.40213</v>
      </c>
      <c r="AE65" s="782">
        <v>270478631852.63852</v>
      </c>
      <c r="AF65" s="782">
        <v>237989394909.72336</v>
      </c>
      <c r="AG65" s="782">
        <v>238801324503.31125</v>
      </c>
    </row>
    <row r="66" spans="1:33">
      <c r="A66" s="22">
        <v>220</v>
      </c>
      <c r="B66" s="22" t="s">
        <v>40</v>
      </c>
      <c r="C66" s="783">
        <v>690323502018.00684</v>
      </c>
      <c r="D66" s="783">
        <v>605221243210.62158</v>
      </c>
      <c r="E66" s="783">
        <v>574594670126.75916</v>
      </c>
      <c r="F66" s="783">
        <v>550344263705.99878</v>
      </c>
      <c r="G66" s="783">
        <v>521686482023.56824</v>
      </c>
      <c r="H66" s="783">
        <v>543485180318.29468</v>
      </c>
      <c r="I66" s="783">
        <v>758519935599.96204</v>
      </c>
      <c r="J66" s="783">
        <v>917896213030.66675</v>
      </c>
      <c r="K66" s="783">
        <v>1001159013324.5237</v>
      </c>
      <c r="L66" s="783">
        <v>1007009253547.1931</v>
      </c>
      <c r="M66" s="783">
        <v>1244163353812.7937</v>
      </c>
      <c r="N66" s="783">
        <v>1245405883036.8564</v>
      </c>
      <c r="O66" s="783">
        <v>1372968029739.7769</v>
      </c>
      <c r="P66" s="783">
        <v>1297003937919.8518</v>
      </c>
      <c r="Q66" s="783">
        <v>1368007679584.1208</v>
      </c>
      <c r="R66" s="783">
        <v>1572060717571.2971</v>
      </c>
      <c r="S66" s="783">
        <v>1572775612257.9817</v>
      </c>
      <c r="T66" s="783">
        <v>1421492133063.6099</v>
      </c>
      <c r="U66" s="783">
        <v>1468872470535.9128</v>
      </c>
      <c r="V66" s="783">
        <v>1456430108672.491</v>
      </c>
      <c r="W66" s="783">
        <v>1326334438916.5286</v>
      </c>
      <c r="X66" s="783">
        <v>1338302550335.5706</v>
      </c>
      <c r="Y66" s="783">
        <v>1452030491247.8826</v>
      </c>
      <c r="Z66" s="783">
        <v>1792214898419.8645</v>
      </c>
      <c r="AA66" s="783">
        <v>2055677736181.7312</v>
      </c>
      <c r="AB66" s="783">
        <v>2136555364870.915</v>
      </c>
      <c r="AC66" s="783">
        <v>2255705477450.0371</v>
      </c>
      <c r="AD66" s="783">
        <v>2582389733356.3267</v>
      </c>
      <c r="AE66" s="783">
        <v>2831794060131.1016</v>
      </c>
      <c r="AF66" s="783">
        <v>2624504232172.8486</v>
      </c>
      <c r="AG66" s="783">
        <v>2560002000000</v>
      </c>
    </row>
    <row r="67" spans="1:33">
      <c r="A67" s="22">
        <v>987</v>
      </c>
      <c r="B67" s="22" t="s">
        <v>189</v>
      </c>
      <c r="C67" s="835"/>
      <c r="D67" s="835"/>
      <c r="E67" s="835"/>
      <c r="F67" s="835">
        <v>106500000</v>
      </c>
      <c r="G67" s="835"/>
      <c r="H67" s="835"/>
      <c r="I67" s="835">
        <v>112210000</v>
      </c>
      <c r="J67" s="835">
        <v>116700000</v>
      </c>
      <c r="K67" s="835">
        <v>124700000</v>
      </c>
      <c r="L67" s="835">
        <v>135200000</v>
      </c>
      <c r="M67" s="835">
        <v>147200000</v>
      </c>
      <c r="N67" s="835">
        <v>166200000</v>
      </c>
      <c r="O67" s="835">
        <v>178100000</v>
      </c>
      <c r="P67" s="835">
        <v>198400000</v>
      </c>
      <c r="Q67" s="835">
        <v>202500000</v>
      </c>
      <c r="R67" s="835">
        <v>221192336.9064346</v>
      </c>
      <c r="S67" s="835">
        <v>218710317.01678953</v>
      </c>
      <c r="T67" s="835">
        <v>202827970.96690238</v>
      </c>
      <c r="U67" s="835">
        <v>213109914.71238583</v>
      </c>
      <c r="V67" s="835">
        <v>213221020.10930961</v>
      </c>
      <c r="W67" s="835">
        <v>225912798.17381957</v>
      </c>
      <c r="X67" s="835">
        <v>230577191.89742315</v>
      </c>
      <c r="Y67" s="835">
        <v>235070329.6332528</v>
      </c>
      <c r="Z67" s="835">
        <v>238132902.85692433</v>
      </c>
      <c r="AA67" s="835">
        <v>239100000</v>
      </c>
      <c r="AB67" s="835">
        <v>248300000</v>
      </c>
      <c r="AC67" s="835">
        <v>251300000</v>
      </c>
      <c r="AD67" s="835">
        <v>255700000</v>
      </c>
      <c r="AE67" s="835">
        <v>261800000</v>
      </c>
      <c r="AF67" s="835">
        <v>276500000</v>
      </c>
      <c r="AG67" s="835">
        <v>287383040</v>
      </c>
    </row>
    <row r="68" spans="1:33">
      <c r="A68" s="22">
        <v>481</v>
      </c>
      <c r="B68" s="22" t="s">
        <v>100</v>
      </c>
      <c r="C68" s="784">
        <v>4279223852.3426404</v>
      </c>
      <c r="D68" s="784">
        <v>3862289772.9363704</v>
      </c>
      <c r="E68" s="784">
        <v>3617856490.779624</v>
      </c>
      <c r="F68" s="784">
        <v>3391240454.5096703</v>
      </c>
      <c r="G68" s="784">
        <v>3561424386.6715488</v>
      </c>
      <c r="H68" s="784">
        <v>3339936784.9352269</v>
      </c>
      <c r="I68" s="784">
        <v>3403696217.1527576</v>
      </c>
      <c r="J68" s="784">
        <v>3281759501.2710452</v>
      </c>
      <c r="K68" s="784">
        <v>3834519069.4551234</v>
      </c>
      <c r="L68" s="784">
        <v>4186428510.9731135</v>
      </c>
      <c r="M68" s="784">
        <v>5952310992.2722063</v>
      </c>
      <c r="N68" s="784">
        <v>5402937193.8207626</v>
      </c>
      <c r="O68" s="784">
        <v>5592407750.9246635</v>
      </c>
      <c r="P68" s="784">
        <v>4378645081.0176907</v>
      </c>
      <c r="Q68" s="784">
        <v>4190854791.0662823</v>
      </c>
      <c r="R68" s="784">
        <v>4958830011.0187321</v>
      </c>
      <c r="S68" s="784">
        <v>5694067051.1191473</v>
      </c>
      <c r="T68" s="784">
        <v>5326811383.1445856</v>
      </c>
      <c r="U68" s="784">
        <v>4483354803.7155056</v>
      </c>
      <c r="V68" s="784">
        <v>4662985220.0747118</v>
      </c>
      <c r="W68" s="784">
        <v>5067838984.2411299</v>
      </c>
      <c r="X68" s="784">
        <v>4712839681.3270769</v>
      </c>
      <c r="Y68" s="784">
        <v>4931503861.901823</v>
      </c>
      <c r="Z68" s="784">
        <v>6054886441.8444595</v>
      </c>
      <c r="AA68" s="784">
        <v>7178135732.8471308</v>
      </c>
      <c r="AB68" s="784">
        <v>8665738964.2594433</v>
      </c>
      <c r="AC68" s="784">
        <v>9545984815.1618881</v>
      </c>
      <c r="AD68" s="784">
        <v>11570855623.274794</v>
      </c>
      <c r="AE68" s="784">
        <v>14532816809.54842</v>
      </c>
      <c r="AF68" s="784">
        <v>10950127945.79022</v>
      </c>
      <c r="AG68" s="784">
        <v>13011421194.391794</v>
      </c>
    </row>
    <row r="69" spans="1:33">
      <c r="A69" s="22">
        <v>420</v>
      </c>
      <c r="B69" s="22" t="s">
        <v>85</v>
      </c>
      <c r="C69" s="785">
        <v>241080735.95350125</v>
      </c>
      <c r="D69" s="785">
        <v>218786411.01180446</v>
      </c>
      <c r="E69" s="785">
        <v>216004321.50214428</v>
      </c>
      <c r="F69" s="785">
        <v>213414201.22234553</v>
      </c>
      <c r="G69" s="785">
        <v>177343744.52598548</v>
      </c>
      <c r="H69" s="785">
        <v>225719039.53397617</v>
      </c>
      <c r="I69" s="785">
        <v>185298351.47543555</v>
      </c>
      <c r="J69" s="785">
        <v>220638963.25866514</v>
      </c>
      <c r="K69" s="785">
        <v>266649275.07849139</v>
      </c>
      <c r="L69" s="785">
        <v>284067251.30701321</v>
      </c>
      <c r="M69" s="785">
        <v>316922483.39997602</v>
      </c>
      <c r="N69" s="785">
        <v>316778362.08192664</v>
      </c>
      <c r="O69" s="785">
        <v>347446023.59349364</v>
      </c>
      <c r="P69" s="785">
        <v>366381861.12611747</v>
      </c>
      <c r="Q69" s="785">
        <v>363032586.72179109</v>
      </c>
      <c r="R69" s="785">
        <v>381945341.36483604</v>
      </c>
      <c r="S69" s="785">
        <v>391832142.7508055</v>
      </c>
      <c r="T69" s="785">
        <v>409636274.32666022</v>
      </c>
      <c r="U69" s="785">
        <v>416555766.81303406</v>
      </c>
      <c r="V69" s="785">
        <v>431935044.69291931</v>
      </c>
      <c r="W69" s="785">
        <v>420894585.16137141</v>
      </c>
      <c r="X69" s="785">
        <v>417921838.79736984</v>
      </c>
      <c r="Y69" s="785">
        <v>369731927.24167889</v>
      </c>
      <c r="Z69" s="785">
        <v>367172050.09887934</v>
      </c>
      <c r="AA69" s="785">
        <v>400799200.79920077</v>
      </c>
      <c r="AB69" s="785">
        <v>461032370.95363081</v>
      </c>
      <c r="AC69" s="785">
        <v>508301859.90166038</v>
      </c>
      <c r="AD69" s="785">
        <v>650934673.36683416</v>
      </c>
      <c r="AE69" s="785">
        <v>821917808.21917808</v>
      </c>
      <c r="AF69" s="785">
        <v>733483568.07511735</v>
      </c>
      <c r="AG69" s="785">
        <v>806523947.75036287</v>
      </c>
    </row>
    <row r="70" spans="1:33">
      <c r="A70" s="22">
        <v>452</v>
      </c>
      <c r="B70" s="22" t="s">
        <v>96</v>
      </c>
      <c r="C70" s="788">
        <v>4445228030.8975191</v>
      </c>
      <c r="D70" s="788">
        <v>4222441903.868156</v>
      </c>
      <c r="E70" s="788">
        <v>4035994541.7403469</v>
      </c>
      <c r="F70" s="788">
        <v>4057275046.6409988</v>
      </c>
      <c r="G70" s="788">
        <v>4412279889.4083672</v>
      </c>
      <c r="H70" s="788">
        <v>4504342092.4821157</v>
      </c>
      <c r="I70" s="788">
        <v>5727602711.1169806</v>
      </c>
      <c r="J70" s="788">
        <v>5074830092.1904755</v>
      </c>
      <c r="K70" s="788">
        <v>5195042325.299962</v>
      </c>
      <c r="L70" s="788">
        <v>5248940866.3703699</v>
      </c>
      <c r="M70" s="788">
        <v>5886003649.3171415</v>
      </c>
      <c r="N70" s="788">
        <v>6599578348.8935223</v>
      </c>
      <c r="O70" s="788">
        <v>6412625105.005661</v>
      </c>
      <c r="P70" s="788">
        <v>5965704271.661644</v>
      </c>
      <c r="Q70" s="788">
        <v>5440519990.8617306</v>
      </c>
      <c r="R70" s="788">
        <v>6457441706.3236742</v>
      </c>
      <c r="S70" s="788">
        <v>6925530171.9590588</v>
      </c>
      <c r="T70" s="788">
        <v>6884024595.9384985</v>
      </c>
      <c r="U70" s="788">
        <v>7474018853.5249023</v>
      </c>
      <c r="V70" s="788">
        <v>7709811561.0834303</v>
      </c>
      <c r="W70" s="788">
        <v>4977488790.224122</v>
      </c>
      <c r="X70" s="788">
        <v>5309158304.0012493</v>
      </c>
      <c r="Y70" s="788">
        <v>6159567360.419529</v>
      </c>
      <c r="Z70" s="788">
        <v>7624164925.547718</v>
      </c>
      <c r="AA70" s="788">
        <v>8871872034.9611759</v>
      </c>
      <c r="AB70" s="788">
        <v>10720345993.400087</v>
      </c>
      <c r="AC70" s="788">
        <v>20388317031.721809</v>
      </c>
      <c r="AD70" s="788">
        <v>24632480407.076832</v>
      </c>
      <c r="AE70" s="788">
        <v>28526922399.336922</v>
      </c>
      <c r="AF70" s="788">
        <v>26169336383.83606</v>
      </c>
      <c r="AG70" s="788">
        <v>31305891329.222198</v>
      </c>
    </row>
    <row r="71" spans="1:33">
      <c r="A71" s="22">
        <v>255</v>
      </c>
      <c r="B71" s="22" t="s">
        <v>47</v>
      </c>
      <c r="C71" s="787">
        <v>919609249838.60559</v>
      </c>
      <c r="D71" s="787">
        <v>774627579749.02637</v>
      </c>
      <c r="E71" s="787">
        <v>751503470621.42346</v>
      </c>
      <c r="F71" s="787">
        <v>745801590654.92139</v>
      </c>
      <c r="G71" s="787">
        <v>701699792454.12683</v>
      </c>
      <c r="H71" s="787">
        <v>708883867260.16467</v>
      </c>
      <c r="I71" s="787">
        <v>1012479276772.0436</v>
      </c>
      <c r="J71" s="787">
        <v>1256262486398.259</v>
      </c>
      <c r="K71" s="787">
        <v>1355992248580.02</v>
      </c>
      <c r="L71" s="787">
        <v>1353799614064.2878</v>
      </c>
      <c r="M71" s="787">
        <v>1714470068998.9106</v>
      </c>
      <c r="N71" s="787">
        <v>1808603417796.1106</v>
      </c>
      <c r="O71" s="787">
        <v>2062141515341.2649</v>
      </c>
      <c r="P71" s="787">
        <v>2004459955045.5459</v>
      </c>
      <c r="Q71" s="787">
        <v>2146293841147.4026</v>
      </c>
      <c r="R71" s="787">
        <v>2522792411628.2241</v>
      </c>
      <c r="S71" s="787">
        <v>2438497530543.2808</v>
      </c>
      <c r="T71" s="787">
        <v>2160591021881.3442</v>
      </c>
      <c r="U71" s="787">
        <v>2184483716794.4868</v>
      </c>
      <c r="V71" s="787">
        <v>2143618154698.4871</v>
      </c>
      <c r="W71" s="787">
        <v>1900221116639.0273</v>
      </c>
      <c r="X71" s="787">
        <v>1890970917225.9509</v>
      </c>
      <c r="Y71" s="787">
        <v>2016920760399.0212</v>
      </c>
      <c r="Z71" s="787">
        <v>2442212189616.2529</v>
      </c>
      <c r="AA71" s="787">
        <v>2745214902559.709</v>
      </c>
      <c r="AB71" s="787">
        <v>2788389792568.2734</v>
      </c>
      <c r="AC71" s="787">
        <v>2918555186598.105</v>
      </c>
      <c r="AD71" s="787">
        <v>3329145212814.0063</v>
      </c>
      <c r="AE71" s="787">
        <v>3634525945728.2012</v>
      </c>
      <c r="AF71" s="787">
        <v>3330031687465.1831</v>
      </c>
      <c r="AG71" s="787">
        <v>3309668874172.1855</v>
      </c>
    </row>
    <row r="72" spans="1:33">
      <c r="A72" s="22">
        <v>404</v>
      </c>
      <c r="B72" s="22" t="s">
        <v>83</v>
      </c>
      <c r="C72" s="793">
        <v>110653830.7260329</v>
      </c>
      <c r="D72" s="793">
        <v>154731919.81351969</v>
      </c>
      <c r="E72" s="793">
        <v>165523638.93223834</v>
      </c>
      <c r="F72" s="793">
        <v>163577519.31856877</v>
      </c>
      <c r="G72" s="793">
        <v>138478894.55703342</v>
      </c>
      <c r="H72" s="793">
        <v>143856252.40000027</v>
      </c>
      <c r="I72" s="793">
        <v>130225023.34851332</v>
      </c>
      <c r="J72" s="793">
        <v>173836468.02907977</v>
      </c>
      <c r="K72" s="793">
        <v>164457624.15405846</v>
      </c>
      <c r="L72" s="793">
        <v>213143606.24040127</v>
      </c>
      <c r="M72" s="793">
        <v>243961622.9077633</v>
      </c>
      <c r="N72" s="793">
        <v>257150338.21587977</v>
      </c>
      <c r="O72" s="793">
        <v>226313574.42626244</v>
      </c>
      <c r="P72" s="793">
        <v>236880892.39131466</v>
      </c>
      <c r="Q72" s="793">
        <v>235620756.35466671</v>
      </c>
      <c r="R72" s="793">
        <v>253960479.16781935</v>
      </c>
      <c r="S72" s="793">
        <v>270419112.95395398</v>
      </c>
      <c r="T72" s="793">
        <v>268550722.15464222</v>
      </c>
      <c r="U72" s="793">
        <v>206457614.48905301</v>
      </c>
      <c r="V72" s="793">
        <v>224446335.71219748</v>
      </c>
      <c r="W72" s="793">
        <v>215455490.32276186</v>
      </c>
      <c r="X72" s="793">
        <v>199034150.79188585</v>
      </c>
      <c r="Y72" s="793">
        <v>203613702.24639666</v>
      </c>
      <c r="Z72" s="793">
        <v>475221954.57673776</v>
      </c>
      <c r="AA72" s="793">
        <v>522654072.39497805</v>
      </c>
      <c r="AB72" s="793">
        <v>572851536.58027947</v>
      </c>
      <c r="AC72" s="793">
        <v>578517470.21362042</v>
      </c>
      <c r="AD72" s="793">
        <v>690721455.88993192</v>
      </c>
      <c r="AE72" s="793">
        <v>846854479.4220264</v>
      </c>
      <c r="AF72" s="793">
        <v>834691371.56923258</v>
      </c>
      <c r="AG72" s="793">
        <v>878517652.02035058</v>
      </c>
    </row>
    <row r="73" spans="1:33">
      <c r="A73" s="22">
        <v>350</v>
      </c>
      <c r="B73" s="22" t="s">
        <v>62</v>
      </c>
      <c r="C73" s="789">
        <v>54687320143.884895</v>
      </c>
      <c r="D73" s="789">
        <v>50373168634.686348</v>
      </c>
      <c r="E73" s="789">
        <v>52559022806.122444</v>
      </c>
      <c r="F73" s="789">
        <v>47565521633.12693</v>
      </c>
      <c r="G73" s="789">
        <v>46209784159.61306</v>
      </c>
      <c r="H73" s="789">
        <v>46018118554.157417</v>
      </c>
      <c r="I73" s="789">
        <v>54254217234.66407</v>
      </c>
      <c r="J73" s="789">
        <v>63177798691.49472</v>
      </c>
      <c r="K73" s="789">
        <v>73386409728.561127</v>
      </c>
      <c r="L73" s="789">
        <v>76184559148.132599</v>
      </c>
      <c r="M73" s="789">
        <v>94200829815.13327</v>
      </c>
      <c r="N73" s="789">
        <v>101179582763.13329</v>
      </c>
      <c r="O73" s="789">
        <v>111843279478.01216</v>
      </c>
      <c r="P73" s="789">
        <v>104707216290.1308</v>
      </c>
      <c r="Q73" s="789">
        <v>112206191587.07866</v>
      </c>
      <c r="R73" s="789">
        <v>131718377526.1068</v>
      </c>
      <c r="S73" s="789">
        <v>139293479218.57303</v>
      </c>
      <c r="T73" s="789">
        <v>135887062273.80507</v>
      </c>
      <c r="U73" s="789">
        <v>136513785771.9359</v>
      </c>
      <c r="V73" s="789">
        <v>134407989985.08417</v>
      </c>
      <c r="W73" s="789">
        <v>125558321824.21228</v>
      </c>
      <c r="X73" s="789">
        <v>131031555509.61969</v>
      </c>
      <c r="Y73" s="789">
        <v>147388648229.81366</v>
      </c>
      <c r="Z73" s="789">
        <v>194617482083.52145</v>
      </c>
      <c r="AA73" s="789">
        <v>230039338149.78302</v>
      </c>
      <c r="AB73" s="789">
        <v>242275723331.09488</v>
      </c>
      <c r="AC73" s="789">
        <v>265071896399.75864</v>
      </c>
      <c r="AD73" s="789">
        <v>310788749217.80688</v>
      </c>
      <c r="AE73" s="789">
        <v>347042265250.66833</v>
      </c>
      <c r="AF73" s="789">
        <v>326483368922.11218</v>
      </c>
      <c r="AG73" s="789">
        <v>304865067454.30463</v>
      </c>
    </row>
    <row r="74" spans="1:33">
      <c r="A74" s="22">
        <v>372</v>
      </c>
      <c r="B74" s="22" t="s">
        <v>74</v>
      </c>
      <c r="C74" s="786"/>
      <c r="D74" s="786"/>
      <c r="E74" s="786"/>
      <c r="F74" s="786"/>
      <c r="G74" s="786"/>
      <c r="H74" s="786"/>
      <c r="I74" s="786"/>
      <c r="J74" s="786"/>
      <c r="K74" s="786"/>
      <c r="L74" s="786"/>
      <c r="M74" s="786">
        <v>7737994864.025424</v>
      </c>
      <c r="N74" s="786">
        <v>6337314651.841423</v>
      </c>
      <c r="O74" s="786">
        <v>3691110627.6764345</v>
      </c>
      <c r="P74" s="786">
        <v>2701180603.9003978</v>
      </c>
      <c r="Q74" s="786">
        <v>2513870708.8017683</v>
      </c>
      <c r="R74" s="786">
        <v>2693731879.9719439</v>
      </c>
      <c r="S74" s="786">
        <v>3094915506.0954819</v>
      </c>
      <c r="T74" s="786">
        <v>3510540843.5830593</v>
      </c>
      <c r="U74" s="786">
        <v>3613500141.7083297</v>
      </c>
      <c r="V74" s="786">
        <v>2800024342.1349177</v>
      </c>
      <c r="W74" s="786">
        <v>3057453460.8497453</v>
      </c>
      <c r="X74" s="786">
        <v>3219487823.0487194</v>
      </c>
      <c r="Y74" s="786">
        <v>3395778661.4036245</v>
      </c>
      <c r="Z74" s="786">
        <v>3991374539.8205533</v>
      </c>
      <c r="AA74" s="786">
        <v>5125763952.1564503</v>
      </c>
      <c r="AB74" s="786">
        <v>6411141777.6276169</v>
      </c>
      <c r="AC74" s="786">
        <v>7745401717.7124805</v>
      </c>
      <c r="AD74" s="786">
        <v>10172869673.584255</v>
      </c>
      <c r="AE74" s="786">
        <v>12795044475.200964</v>
      </c>
      <c r="AF74" s="786">
        <v>10766809096.169323</v>
      </c>
      <c r="AG74" s="786">
        <v>11667377223.715273</v>
      </c>
    </row>
    <row r="75" spans="1:33">
      <c r="A75" s="22">
        <v>55</v>
      </c>
      <c r="B75" s="22" t="s">
        <v>10</v>
      </c>
      <c r="C75" s="790">
        <v>83614813.338123947</v>
      </c>
      <c r="D75" s="790">
        <v>87888887.336715162</v>
      </c>
      <c r="E75" s="790">
        <v>95229627.947813734</v>
      </c>
      <c r="F75" s="790">
        <v>101211115.24958427</v>
      </c>
      <c r="G75" s="790">
        <v>110100003.98148972</v>
      </c>
      <c r="H75" s="790">
        <v>128211102.92089544</v>
      </c>
      <c r="I75" s="790">
        <v>144011114.49370903</v>
      </c>
      <c r="J75" s="790">
        <v>167229626.67624789</v>
      </c>
      <c r="K75" s="790">
        <v>184533330.07435718</v>
      </c>
      <c r="L75" s="790">
        <v>213066662.9037737</v>
      </c>
      <c r="M75" s="790">
        <v>221070360.54020107</v>
      </c>
      <c r="N75" s="790">
        <v>241570366.10408384</v>
      </c>
      <c r="O75" s="790">
        <v>250914816.30942526</v>
      </c>
      <c r="P75" s="790">
        <v>250259242.98766977</v>
      </c>
      <c r="Q75" s="790">
        <v>261777773.15461555</v>
      </c>
      <c r="R75" s="790">
        <v>276296291.41672778</v>
      </c>
      <c r="S75" s="790">
        <v>294651846.64811254</v>
      </c>
      <c r="T75" s="790">
        <v>304940747.20714474</v>
      </c>
      <c r="U75" s="790">
        <v>340814808.7958082</v>
      </c>
      <c r="V75" s="790">
        <v>379629397.7399475</v>
      </c>
      <c r="W75" s="790">
        <v>429579259.82609737</v>
      </c>
      <c r="X75" s="790">
        <v>422328925.31251323</v>
      </c>
      <c r="Y75" s="790">
        <v>437249042.88560706</v>
      </c>
      <c r="Z75" s="790">
        <v>480225509.75001025</v>
      </c>
      <c r="AA75" s="790">
        <v>469329346.13713098</v>
      </c>
      <c r="AB75" s="790">
        <v>553861241.83438361</v>
      </c>
      <c r="AC75" s="790">
        <v>564437837.57770801</v>
      </c>
      <c r="AD75" s="790">
        <v>610316806.54944408</v>
      </c>
      <c r="AE75" s="790">
        <v>678487940.51703179</v>
      </c>
      <c r="AF75" s="790">
        <v>614844433.58590007</v>
      </c>
      <c r="AG75" s="790">
        <v>627851840.76358843</v>
      </c>
    </row>
    <row r="76" spans="1:33">
      <c r="A76" s="22">
        <v>90</v>
      </c>
      <c r="B76" s="22" t="s">
        <v>17</v>
      </c>
      <c r="C76" s="791">
        <v>7878700032</v>
      </c>
      <c r="D76" s="791">
        <v>8607500288</v>
      </c>
      <c r="E76" s="791">
        <v>8716999680</v>
      </c>
      <c r="F76" s="791">
        <v>9050000384</v>
      </c>
      <c r="G76" s="791">
        <v>9470000128</v>
      </c>
      <c r="H76" s="791">
        <v>9721652291.9845676</v>
      </c>
      <c r="I76" s="791">
        <v>7231963339.809926</v>
      </c>
      <c r="J76" s="791">
        <v>7084399820.8000002</v>
      </c>
      <c r="K76" s="791">
        <v>7841603176.1069717</v>
      </c>
      <c r="L76" s="791">
        <v>8410724409.2107496</v>
      </c>
      <c r="M76" s="791">
        <v>7650125576.4627943</v>
      </c>
      <c r="N76" s="791">
        <v>9406097461.1055489</v>
      </c>
      <c r="O76" s="791">
        <v>10440842291.646986</v>
      </c>
      <c r="P76" s="791">
        <v>11399942820.384878</v>
      </c>
      <c r="Q76" s="791">
        <v>12983235118.703014</v>
      </c>
      <c r="R76" s="791">
        <v>14656917900.172117</v>
      </c>
      <c r="S76" s="791">
        <v>15781579950.413221</v>
      </c>
      <c r="T76" s="791">
        <v>17788657193.898586</v>
      </c>
      <c r="U76" s="791">
        <v>19393672243.940578</v>
      </c>
      <c r="V76" s="791">
        <v>18317089473.090378</v>
      </c>
      <c r="W76" s="791">
        <v>19290566570.048309</v>
      </c>
      <c r="X76" s="791">
        <v>18702816768.483753</v>
      </c>
      <c r="Y76" s="791">
        <v>20776640958.336266</v>
      </c>
      <c r="Z76" s="791">
        <v>21917582105.078346</v>
      </c>
      <c r="AA76" s="791">
        <v>23965280312.087082</v>
      </c>
      <c r="AB76" s="791">
        <v>27211230373.830551</v>
      </c>
      <c r="AC76" s="791">
        <v>30231130542.98315</v>
      </c>
      <c r="AD76" s="791">
        <v>34113106486.12722</v>
      </c>
      <c r="AE76" s="791">
        <v>39136286496.217606</v>
      </c>
      <c r="AF76" s="791">
        <v>37679806311.538483</v>
      </c>
      <c r="AG76" s="791">
        <v>41190056305.901016</v>
      </c>
    </row>
    <row r="77" spans="1:33">
      <c r="A77" s="22">
        <v>438</v>
      </c>
      <c r="B77" s="22" t="s">
        <v>92</v>
      </c>
      <c r="C77" s="792"/>
      <c r="D77" s="792"/>
      <c r="E77" s="792"/>
      <c r="F77" s="792"/>
      <c r="G77" s="792"/>
      <c r="H77" s="792"/>
      <c r="I77" s="792">
        <v>1922600899.3841019</v>
      </c>
      <c r="J77" s="792">
        <v>2041538057.0289268</v>
      </c>
      <c r="K77" s="792">
        <v>2384295763.7254901</v>
      </c>
      <c r="L77" s="792">
        <v>2432029380.4369421</v>
      </c>
      <c r="M77" s="792">
        <v>2666616176.9160857</v>
      </c>
      <c r="N77" s="792">
        <v>3014890569.040987</v>
      </c>
      <c r="O77" s="792">
        <v>3284625277.1618624</v>
      </c>
      <c r="P77" s="792">
        <v>3279063317.6347461</v>
      </c>
      <c r="Q77" s="792">
        <v>3383218922.7933645</v>
      </c>
      <c r="R77" s="792">
        <v>3693753379.0599155</v>
      </c>
      <c r="S77" s="792">
        <v>3869032270.9163346</v>
      </c>
      <c r="T77" s="792">
        <v>3783788551.0818954</v>
      </c>
      <c r="U77" s="792">
        <v>3588375984.4837408</v>
      </c>
      <c r="V77" s="792">
        <v>3461282189.6964421</v>
      </c>
      <c r="W77" s="792">
        <v>3112362568.4796238</v>
      </c>
      <c r="X77" s="792">
        <v>2892340075.9831605</v>
      </c>
      <c r="Y77" s="792">
        <v>3053354383.6212568</v>
      </c>
      <c r="Z77" s="792">
        <v>3446417029.1057978</v>
      </c>
      <c r="AA77" s="792">
        <v>3666340827.6311502</v>
      </c>
      <c r="AB77" s="792">
        <v>2937072435.4772191</v>
      </c>
      <c r="AC77" s="792">
        <v>2821345794.3925233</v>
      </c>
      <c r="AD77" s="792">
        <v>4209331037.1592121</v>
      </c>
      <c r="AE77" s="792">
        <v>3778260000</v>
      </c>
      <c r="AF77" s="792">
        <v>4164652641.8786697</v>
      </c>
      <c r="AG77" s="792">
        <v>4510589866.0609903</v>
      </c>
    </row>
    <row r="78" spans="1:33">
      <c r="A78" s="22">
        <v>110</v>
      </c>
      <c r="B78" s="22" t="s">
        <v>25</v>
      </c>
      <c r="C78" s="794">
        <v>603200000</v>
      </c>
      <c r="D78" s="794">
        <v>570357129.71312487</v>
      </c>
      <c r="E78" s="794">
        <v>482000000</v>
      </c>
      <c r="F78" s="794">
        <v>489333333.33333331</v>
      </c>
      <c r="G78" s="794">
        <v>437631601.28102702</v>
      </c>
      <c r="H78" s="794">
        <v>453488351.97766578</v>
      </c>
      <c r="I78" s="794">
        <v>504651110.6384747</v>
      </c>
      <c r="J78" s="794">
        <v>354591836.36397713</v>
      </c>
      <c r="K78" s="794">
        <v>413799987.19999999</v>
      </c>
      <c r="L78" s="794">
        <v>379779377.5827688</v>
      </c>
      <c r="M78" s="794">
        <v>396582263.89873415</v>
      </c>
      <c r="N78" s="794">
        <v>336708410.12922555</v>
      </c>
      <c r="O78" s="794">
        <v>368281383.48483479</v>
      </c>
      <c r="P78" s="794">
        <v>442273443.73050326</v>
      </c>
      <c r="Q78" s="794">
        <v>540874922.20810282</v>
      </c>
      <c r="R78" s="794">
        <v>621626786.25352108</v>
      </c>
      <c r="S78" s="794">
        <v>705406032.2610898</v>
      </c>
      <c r="T78" s="794">
        <v>749138004.17426515</v>
      </c>
      <c r="U78" s="794">
        <v>717530696.5270257</v>
      </c>
      <c r="V78" s="794">
        <v>694754983.97015274</v>
      </c>
      <c r="W78" s="794">
        <v>712667925.07666481</v>
      </c>
      <c r="X78" s="794">
        <v>696281468.79593778</v>
      </c>
      <c r="Y78" s="794">
        <v>722460911.62251318</v>
      </c>
      <c r="Z78" s="794">
        <v>741929343.01569593</v>
      </c>
      <c r="AA78" s="794">
        <v>785918769.74900091</v>
      </c>
      <c r="AB78" s="794">
        <v>824880550.34396493</v>
      </c>
      <c r="AC78" s="794">
        <v>1458449635.4168415</v>
      </c>
      <c r="AD78" s="794">
        <v>1740335165.8599775</v>
      </c>
      <c r="AE78" s="794">
        <v>1922600611.4426875</v>
      </c>
      <c r="AF78" s="794">
        <v>2025496445.2071588</v>
      </c>
      <c r="AG78" s="794">
        <v>2222102182.3253255</v>
      </c>
    </row>
    <row r="79" spans="1:33">
      <c r="A79" s="22">
        <v>41</v>
      </c>
      <c r="B79" s="22" t="s">
        <v>4</v>
      </c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795">
        <v>3476346281.3577733</v>
      </c>
      <c r="O79" s="795">
        <v>2111405825.6832793</v>
      </c>
      <c r="P79" s="795">
        <v>1806285587.0455627</v>
      </c>
      <c r="Q79" s="795">
        <v>2124933516.0279148</v>
      </c>
      <c r="R79" s="795">
        <v>2695499730.3392797</v>
      </c>
      <c r="S79" s="795">
        <v>2970865202.6631241</v>
      </c>
      <c r="T79" s="795">
        <v>3242667331.2143202</v>
      </c>
      <c r="U79" s="795">
        <v>3757500381.2270255</v>
      </c>
      <c r="V79" s="795">
        <v>4088703119.6581373</v>
      </c>
      <c r="W79" s="795">
        <v>3664503845.568922</v>
      </c>
      <c r="X79" s="795">
        <v>3507981945.5361772</v>
      </c>
      <c r="Y79" s="795">
        <v>3214632478.6324787</v>
      </c>
      <c r="Z79" s="795">
        <v>2826481071.9614677</v>
      </c>
      <c r="AA79" s="795">
        <v>3660678111.7536249</v>
      </c>
      <c r="AB79" s="795">
        <v>4154243480.6440125</v>
      </c>
      <c r="AC79" s="795">
        <v>4879740567.5490799</v>
      </c>
      <c r="AD79" s="795">
        <v>5971284337.50737</v>
      </c>
      <c r="AE79" s="795">
        <v>6407707284.4552078</v>
      </c>
      <c r="AF79" s="795">
        <v>6478628512.6179504</v>
      </c>
      <c r="AG79" s="795">
        <v>6709802246.4004831</v>
      </c>
    </row>
    <row r="80" spans="1:33">
      <c r="A80" s="22">
        <v>91</v>
      </c>
      <c r="B80" s="22" t="s">
        <v>18</v>
      </c>
      <c r="C80" s="796">
        <v>2566000032</v>
      </c>
      <c r="D80" s="796">
        <v>2819500000</v>
      </c>
      <c r="E80" s="796">
        <v>2903500032</v>
      </c>
      <c r="F80" s="796">
        <v>3076999968</v>
      </c>
      <c r="G80" s="796">
        <v>3319000000</v>
      </c>
      <c r="H80" s="796">
        <v>3639499936</v>
      </c>
      <c r="I80" s="796">
        <v>3808500032</v>
      </c>
      <c r="J80" s="796">
        <v>4152499968</v>
      </c>
      <c r="K80" s="796">
        <v>3970386396.1014776</v>
      </c>
      <c r="L80" s="796">
        <v>3563448320</v>
      </c>
      <c r="M80" s="796">
        <v>3048896180.8427649</v>
      </c>
      <c r="N80" s="796">
        <v>3068462060.1235981</v>
      </c>
      <c r="O80" s="796">
        <v>3419474978.8681221</v>
      </c>
      <c r="P80" s="796">
        <v>3481990761.3449764</v>
      </c>
      <c r="Q80" s="796">
        <v>3432356578.8221865</v>
      </c>
      <c r="R80" s="796">
        <v>3911053180.396246</v>
      </c>
      <c r="S80" s="796">
        <v>4034037162.1621623</v>
      </c>
      <c r="T80" s="796">
        <v>4663193916.3498096</v>
      </c>
      <c r="U80" s="796">
        <v>5202215657.3116693</v>
      </c>
      <c r="V80" s="796">
        <v>5372543554.0069685</v>
      </c>
      <c r="W80" s="796">
        <v>7105541205.2821112</v>
      </c>
      <c r="X80" s="796">
        <v>7566501475.5887337</v>
      </c>
      <c r="Y80" s="796">
        <v>7776438040.8304558</v>
      </c>
      <c r="Z80" s="796">
        <v>8233948656.8234758</v>
      </c>
      <c r="AA80" s="796">
        <v>8871111446.5087776</v>
      </c>
      <c r="AB80" s="796">
        <v>9757258851.2592049</v>
      </c>
      <c r="AC80" s="796">
        <v>10917599271.817425</v>
      </c>
      <c r="AD80" s="796">
        <v>12392440366.168839</v>
      </c>
      <c r="AE80" s="796">
        <v>13969292165.034538</v>
      </c>
      <c r="AF80" s="796">
        <v>14317854031.917521</v>
      </c>
      <c r="AG80" s="796">
        <v>15400341887.579321</v>
      </c>
    </row>
    <row r="81" spans="1:33">
      <c r="A81" s="22">
        <v>310</v>
      </c>
      <c r="B81" s="22" t="s">
        <v>50</v>
      </c>
      <c r="C81" s="797">
        <v>22163405824.944286</v>
      </c>
      <c r="D81" s="797">
        <v>22728019816.406822</v>
      </c>
      <c r="E81" s="797">
        <v>23145848309.750195</v>
      </c>
      <c r="F81" s="797">
        <v>21006550141.587753</v>
      </c>
      <c r="G81" s="797">
        <v>20366467190.508404</v>
      </c>
      <c r="H81" s="797">
        <v>20623320309.252651</v>
      </c>
      <c r="I81" s="797">
        <v>23756068292.150764</v>
      </c>
      <c r="J81" s="797">
        <v>26108718021.502304</v>
      </c>
      <c r="K81" s="797">
        <v>28570620030.745308</v>
      </c>
      <c r="L81" s="797">
        <v>29167601580.135426</v>
      </c>
      <c r="M81" s="797">
        <v>33056134799.46207</v>
      </c>
      <c r="N81" s="797">
        <v>33429035926.94186</v>
      </c>
      <c r="O81" s="797">
        <v>37254463739.370811</v>
      </c>
      <c r="P81" s="797">
        <v>38595683505.406937</v>
      </c>
      <c r="Q81" s="797">
        <v>41521516338.211151</v>
      </c>
      <c r="R81" s="797">
        <v>44656306509.346298</v>
      </c>
      <c r="S81" s="797">
        <v>45162689435.297104</v>
      </c>
      <c r="T81" s="797">
        <v>45723577830.620003</v>
      </c>
      <c r="U81" s="797">
        <v>47049233137.180138</v>
      </c>
      <c r="V81" s="797">
        <v>48044272335.939629</v>
      </c>
      <c r="W81" s="797">
        <v>47885455753.584396</v>
      </c>
      <c r="X81" s="797">
        <v>53190345128.496002</v>
      </c>
      <c r="Y81" s="797">
        <v>66502083791.155609</v>
      </c>
      <c r="Z81" s="797">
        <v>84326267609.819763</v>
      </c>
      <c r="AA81" s="797">
        <v>102076243243.79884</v>
      </c>
      <c r="AB81" s="797">
        <v>110195442987.23586</v>
      </c>
      <c r="AC81" s="797">
        <v>112790698227.10205</v>
      </c>
      <c r="AD81" s="797">
        <v>137897144101.93518</v>
      </c>
      <c r="AE81" s="797">
        <v>155443541077.61462</v>
      </c>
      <c r="AF81" s="797">
        <v>128764022898.54144</v>
      </c>
      <c r="AG81" s="797">
        <v>130418835184.10304</v>
      </c>
    </row>
    <row r="82" spans="1:33">
      <c r="A82" s="22">
        <v>395</v>
      </c>
      <c r="B82" s="22" t="s">
        <v>80</v>
      </c>
      <c r="C82" s="798">
        <v>3331325043.7718859</v>
      </c>
      <c r="D82" s="798">
        <v>3441249878.1872044</v>
      </c>
      <c r="E82" s="798">
        <v>3159121962.5146742</v>
      </c>
      <c r="F82" s="798">
        <v>2724974071.763247</v>
      </c>
      <c r="G82" s="798">
        <v>2822006038.10852</v>
      </c>
      <c r="H82" s="798">
        <v>2939845038.3904672</v>
      </c>
      <c r="I82" s="798">
        <v>3930518365.5198255</v>
      </c>
      <c r="J82" s="798">
        <v>5438537482.030757</v>
      </c>
      <c r="K82" s="798">
        <v>6016168896.1733389</v>
      </c>
      <c r="L82" s="798">
        <v>5588533007.3735399</v>
      </c>
      <c r="M82" s="798">
        <v>6372905073.1077929</v>
      </c>
      <c r="N82" s="798">
        <v>6807365897.5223875</v>
      </c>
      <c r="O82" s="798">
        <v>6976080330.6577873</v>
      </c>
      <c r="P82" s="798">
        <v>6126456175.1514721</v>
      </c>
      <c r="Q82" s="798">
        <v>6294803496.7774401</v>
      </c>
      <c r="R82" s="798">
        <v>7018100153.4972801</v>
      </c>
      <c r="S82" s="798">
        <v>7330965239.097744</v>
      </c>
      <c r="T82" s="798">
        <v>7422994705.5397196</v>
      </c>
      <c r="U82" s="798">
        <v>8291725774.1518621</v>
      </c>
      <c r="V82" s="798">
        <v>8742600398.4223461</v>
      </c>
      <c r="W82" s="798">
        <v>8697298234.4560909</v>
      </c>
      <c r="X82" s="798">
        <v>7922983042.2706385</v>
      </c>
      <c r="Y82" s="798">
        <v>8907207933.0843754</v>
      </c>
      <c r="Z82" s="798">
        <v>10967706061.870184</v>
      </c>
      <c r="AA82" s="798">
        <v>13233600471.280792</v>
      </c>
      <c r="AB82" s="798">
        <v>16301846837.00186</v>
      </c>
      <c r="AC82" s="798">
        <v>16651142958.663435</v>
      </c>
      <c r="AD82" s="798">
        <v>20428033904.207321</v>
      </c>
      <c r="AE82" s="798">
        <v>16863767020.304066</v>
      </c>
      <c r="AF82" s="798">
        <v>12094119523.374691</v>
      </c>
      <c r="AG82" s="798">
        <v>12593984445.916908</v>
      </c>
    </row>
    <row r="83" spans="1:33">
      <c r="A83" s="22">
        <v>750</v>
      </c>
      <c r="B83" s="22" t="s">
        <v>160</v>
      </c>
      <c r="C83" s="799">
        <v>183798614271.98706</v>
      </c>
      <c r="D83" s="799">
        <v>190454155191.06186</v>
      </c>
      <c r="E83" s="799">
        <v>197660873163.66644</v>
      </c>
      <c r="F83" s="799">
        <v>215169245647.96906</v>
      </c>
      <c r="G83" s="799">
        <v>209669767676.59775</v>
      </c>
      <c r="H83" s="799">
        <v>229940579816.75372</v>
      </c>
      <c r="I83" s="799">
        <v>246369598221.9718</v>
      </c>
      <c r="J83" s="799">
        <v>276003794598.09656</v>
      </c>
      <c r="K83" s="799">
        <v>293149975486.30347</v>
      </c>
      <c r="L83" s="799">
        <v>292917377411.52728</v>
      </c>
      <c r="M83" s="799">
        <v>317466616135.72021</v>
      </c>
      <c r="N83" s="799">
        <v>267523504823.54526</v>
      </c>
      <c r="O83" s="799">
        <v>245553170107.80194</v>
      </c>
      <c r="P83" s="799">
        <v>276037365895.64966</v>
      </c>
      <c r="Q83" s="799">
        <v>323506143586.01978</v>
      </c>
      <c r="R83" s="799">
        <v>356298991324.31281</v>
      </c>
      <c r="S83" s="799">
        <v>388343910827.91785</v>
      </c>
      <c r="T83" s="799">
        <v>410915167039.7796</v>
      </c>
      <c r="U83" s="799">
        <v>416252442323.14258</v>
      </c>
      <c r="V83" s="799">
        <v>450476199267.52771</v>
      </c>
      <c r="W83" s="799">
        <v>460182031503.09515</v>
      </c>
      <c r="X83" s="799">
        <v>477848859030.56915</v>
      </c>
      <c r="Y83" s="799">
        <v>507189954396.39801</v>
      </c>
      <c r="Z83" s="799">
        <v>599461389810.14807</v>
      </c>
      <c r="AA83" s="799">
        <v>721573248762.03198</v>
      </c>
      <c r="AB83" s="799">
        <v>834035801005.13867</v>
      </c>
      <c r="AC83" s="799">
        <v>951339358745.92639</v>
      </c>
      <c r="AD83" s="799">
        <v>1242426253335.1328</v>
      </c>
      <c r="AE83" s="799">
        <v>1213782569748.8347</v>
      </c>
      <c r="AF83" s="799">
        <v>1380640843779.0476</v>
      </c>
      <c r="AG83" s="799">
        <v>1729010242153.7788</v>
      </c>
    </row>
    <row r="84" spans="1:33">
      <c r="A84" s="22">
        <v>850</v>
      </c>
      <c r="B84" s="22" t="s">
        <v>176</v>
      </c>
      <c r="C84" s="800">
        <v>78013206037.569519</v>
      </c>
      <c r="D84" s="800">
        <v>92473878831.718964</v>
      </c>
      <c r="E84" s="800">
        <v>94715163814.259277</v>
      </c>
      <c r="F84" s="800">
        <v>85369201879.097717</v>
      </c>
      <c r="G84" s="800">
        <v>87612439197.276016</v>
      </c>
      <c r="H84" s="800">
        <v>87338874330.074295</v>
      </c>
      <c r="I84" s="800">
        <v>80060657611.890152</v>
      </c>
      <c r="J84" s="800">
        <v>75929617715.011856</v>
      </c>
      <c r="K84" s="800">
        <v>88787623309.659332</v>
      </c>
      <c r="L84" s="800">
        <v>101455197785.78325</v>
      </c>
      <c r="M84" s="800">
        <v>114426498044.99562</v>
      </c>
      <c r="N84" s="800">
        <v>128167999846.51942</v>
      </c>
      <c r="O84" s="800">
        <v>139116270052.44562</v>
      </c>
      <c r="P84" s="800">
        <v>158006849878.89969</v>
      </c>
      <c r="Q84" s="800">
        <v>176892148243.48953</v>
      </c>
      <c r="R84" s="800">
        <v>202132032844.15887</v>
      </c>
      <c r="S84" s="800">
        <v>227369671349.349</v>
      </c>
      <c r="T84" s="800">
        <v>215748854646.70441</v>
      </c>
      <c r="U84" s="800">
        <v>95445548017.354919</v>
      </c>
      <c r="V84" s="800">
        <v>140001352527.22061</v>
      </c>
      <c r="W84" s="800">
        <v>165021047883.45132</v>
      </c>
      <c r="X84" s="800">
        <v>160446947638.31348</v>
      </c>
      <c r="Y84" s="800">
        <v>195660611033.84912</v>
      </c>
      <c r="Z84" s="800">
        <v>234772458818.09644</v>
      </c>
      <c r="AA84" s="800">
        <v>256836883304.55344</v>
      </c>
      <c r="AB84" s="800">
        <v>285868610016.59149</v>
      </c>
      <c r="AC84" s="800">
        <v>364570525997.05414</v>
      </c>
      <c r="AD84" s="800">
        <v>432105253653.31458</v>
      </c>
      <c r="AE84" s="800">
        <v>510226662255.4975</v>
      </c>
      <c r="AF84" s="800">
        <v>539352374398.46008</v>
      </c>
      <c r="AG84" s="800">
        <v>706558240891.85669</v>
      </c>
    </row>
    <row r="85" spans="1:33">
      <c r="A85" s="22">
        <v>205</v>
      </c>
      <c r="B85" s="22" t="s">
        <v>36</v>
      </c>
      <c r="C85" s="803">
        <v>21106806125.445107</v>
      </c>
      <c r="D85" s="803">
        <v>20060905535.24675</v>
      </c>
      <c r="E85" s="803">
        <v>20841753595.224548</v>
      </c>
      <c r="F85" s="803">
        <v>20153938189.906097</v>
      </c>
      <c r="G85" s="803">
        <v>19513975690.669575</v>
      </c>
      <c r="H85" s="803">
        <v>20643048210.908585</v>
      </c>
      <c r="I85" s="803">
        <v>27868167225.300018</v>
      </c>
      <c r="J85" s="803">
        <v>32920661454.269646</v>
      </c>
      <c r="K85" s="803">
        <v>36659485243.006142</v>
      </c>
      <c r="L85" s="803">
        <v>38081783245.484787</v>
      </c>
      <c r="M85" s="803">
        <v>47852276158.474327</v>
      </c>
      <c r="N85" s="803">
        <v>48319942438.95314</v>
      </c>
      <c r="O85" s="803">
        <v>54270256540.838455</v>
      </c>
      <c r="P85" s="803">
        <v>50872394991.296104</v>
      </c>
      <c r="Q85" s="803">
        <v>55414618700.74807</v>
      </c>
      <c r="R85" s="803">
        <v>67101825431.818176</v>
      </c>
      <c r="S85" s="803">
        <v>74057237196.320572</v>
      </c>
      <c r="T85" s="803">
        <v>81180205000</v>
      </c>
      <c r="U85" s="803">
        <v>88007645411.012665</v>
      </c>
      <c r="V85" s="803">
        <v>96292879615.384613</v>
      </c>
      <c r="W85" s="803">
        <v>96754681824.21228</v>
      </c>
      <c r="X85" s="803">
        <v>104819388536.91275</v>
      </c>
      <c r="Y85" s="803">
        <v>122777745866.74196</v>
      </c>
      <c r="Z85" s="803">
        <v>158022711467.26862</v>
      </c>
      <c r="AA85" s="803">
        <v>185436542613.59756</v>
      </c>
      <c r="AB85" s="803">
        <v>201852365461.62265</v>
      </c>
      <c r="AC85" s="803">
        <v>222473595430.41946</v>
      </c>
      <c r="AD85" s="803">
        <v>259189260141.13693</v>
      </c>
      <c r="AE85" s="803">
        <v>263652850517.44974</v>
      </c>
      <c r="AF85" s="803">
        <v>221778533696.93112</v>
      </c>
      <c r="AG85" s="803">
        <v>203892188349.66888</v>
      </c>
    </row>
    <row r="86" spans="1:33">
      <c r="A86" s="22">
        <v>630</v>
      </c>
      <c r="B86" s="22" t="s">
        <v>133</v>
      </c>
      <c r="C86" s="801">
        <v>90041228621.614014</v>
      </c>
      <c r="D86" s="801">
        <v>97085719579.148361</v>
      </c>
      <c r="E86" s="801">
        <v>121526715239.23747</v>
      </c>
      <c r="F86" s="801">
        <v>147222717993.25449</v>
      </c>
      <c r="G86" s="801">
        <v>153067404656.37906</v>
      </c>
      <c r="H86" s="801">
        <v>170673002206.26794</v>
      </c>
      <c r="I86" s="801">
        <v>198775373326.42328</v>
      </c>
      <c r="J86" s="801">
        <v>127851925591.66562</v>
      </c>
      <c r="K86" s="801">
        <v>116305831422.60555</v>
      </c>
      <c r="L86" s="801">
        <v>114003085003.8938</v>
      </c>
      <c r="M86" s="801">
        <v>116035029649.09662</v>
      </c>
      <c r="N86" s="801"/>
      <c r="O86" s="801"/>
      <c r="P86" s="801">
        <v>60088309490.623421</v>
      </c>
      <c r="Q86" s="801">
        <v>67128216022.671463</v>
      </c>
      <c r="R86" s="801">
        <v>90829495171.439178</v>
      </c>
      <c r="S86" s="801">
        <v>110573439131.01335</v>
      </c>
      <c r="T86" s="801">
        <v>105298720965.1002</v>
      </c>
      <c r="U86" s="801">
        <v>102661888397.33499</v>
      </c>
      <c r="V86" s="801">
        <v>104656040167.70087</v>
      </c>
      <c r="W86" s="801">
        <v>101286514977.45734</v>
      </c>
      <c r="X86" s="801">
        <v>115438386681.92885</v>
      </c>
      <c r="Y86" s="801">
        <v>116420833373.6758</v>
      </c>
      <c r="Z86" s="801">
        <v>135409681532.10822</v>
      </c>
      <c r="AA86" s="801">
        <v>163226579221.09576</v>
      </c>
      <c r="AB86" s="801">
        <v>192014940324.05362</v>
      </c>
      <c r="AC86" s="801">
        <v>222880533511.28671</v>
      </c>
      <c r="AD86" s="801">
        <v>286057933325.51819</v>
      </c>
      <c r="AE86" s="801">
        <v>338187289004.7547</v>
      </c>
      <c r="AF86" s="801">
        <v>331014973186.13586</v>
      </c>
      <c r="AG86" s="801"/>
    </row>
    <row r="87" spans="1:33">
      <c r="A87" s="22">
        <v>645</v>
      </c>
      <c r="B87" s="22" t="s">
        <v>135</v>
      </c>
      <c r="C87" s="802">
        <v>47562146134.157333</v>
      </c>
      <c r="D87" s="802">
        <v>32579844010.470589</v>
      </c>
      <c r="E87" s="802">
        <v>36776549880.70594</v>
      </c>
      <c r="F87" s="802">
        <v>37495016505.397789</v>
      </c>
      <c r="G87" s="802">
        <v>42530668954.029442</v>
      </c>
      <c r="H87" s="802">
        <v>44204431807.735374</v>
      </c>
      <c r="I87" s="802">
        <v>39991570164.723755</v>
      </c>
      <c r="J87" s="802">
        <v>43702264739.965637</v>
      </c>
      <c r="K87" s="802">
        <v>43410815201.197334</v>
      </c>
      <c r="L87" s="802">
        <v>48422432259.92099</v>
      </c>
      <c r="M87" s="802"/>
      <c r="N87" s="802"/>
      <c r="O87" s="802"/>
      <c r="P87" s="802"/>
      <c r="Q87" s="802"/>
      <c r="R87" s="802"/>
      <c r="S87" s="802"/>
      <c r="T87" s="802">
        <v>10113863358.259687</v>
      </c>
      <c r="U87" s="802">
        <v>10468730246.91358</v>
      </c>
      <c r="V87" s="802">
        <v>17942362576.064907</v>
      </c>
      <c r="W87" s="802">
        <v>25857106735.751297</v>
      </c>
      <c r="X87" s="802">
        <v>18936094867.807156</v>
      </c>
      <c r="Y87" s="802">
        <v>18969591211.0373</v>
      </c>
      <c r="Z87" s="802"/>
      <c r="AA87" s="802">
        <v>25755086058.74749</v>
      </c>
      <c r="AB87" s="802">
        <v>31316963994.565216</v>
      </c>
      <c r="AC87" s="802">
        <v>45080072236.608971</v>
      </c>
      <c r="AD87" s="802">
        <v>56989916307.98661</v>
      </c>
      <c r="AE87" s="802">
        <v>86530068728.522339</v>
      </c>
      <c r="AF87" s="802">
        <v>65192699145.299149</v>
      </c>
      <c r="AG87" s="802">
        <v>82150312820.512817</v>
      </c>
    </row>
    <row r="88" spans="1:33">
      <c r="A88" s="22">
        <v>666</v>
      </c>
      <c r="B88" s="22" t="s">
        <v>140</v>
      </c>
      <c r="C88" s="804">
        <v>21780968646.118813</v>
      </c>
      <c r="D88" s="804">
        <v>23196333205.493164</v>
      </c>
      <c r="E88" s="804">
        <v>24572712048.969402</v>
      </c>
      <c r="F88" s="804">
        <v>27435501836.746403</v>
      </c>
      <c r="G88" s="804">
        <v>26042767126.686085</v>
      </c>
      <c r="H88" s="804">
        <v>24122660958.988583</v>
      </c>
      <c r="I88" s="804">
        <v>29701444276.44313</v>
      </c>
      <c r="J88" s="804">
        <v>35476344266.205055</v>
      </c>
      <c r="K88" s="804">
        <v>43892480101.534119</v>
      </c>
      <c r="L88" s="804">
        <v>44599772801.900291</v>
      </c>
      <c r="M88" s="804">
        <v>52490325648.230896</v>
      </c>
      <c r="N88" s="804">
        <v>59170288069.86869</v>
      </c>
      <c r="O88" s="804">
        <v>65771216221.022209</v>
      </c>
      <c r="P88" s="804">
        <v>65925582472.992554</v>
      </c>
      <c r="Q88" s="804">
        <v>74669718186.61705</v>
      </c>
      <c r="R88" s="804">
        <v>96064819727.278229</v>
      </c>
      <c r="S88" s="804">
        <v>105370179506.02676</v>
      </c>
      <c r="T88" s="804">
        <v>108389866534.25337</v>
      </c>
      <c r="U88" s="804">
        <v>109886581932.05441</v>
      </c>
      <c r="V88" s="804">
        <v>110790638717.83708</v>
      </c>
      <c r="W88" s="804">
        <v>124749221298.40825</v>
      </c>
      <c r="X88" s="804">
        <v>123059181586.89395</v>
      </c>
      <c r="Y88" s="804">
        <v>113010257925.61948</v>
      </c>
      <c r="Z88" s="804">
        <v>118903844887.02487</v>
      </c>
      <c r="AA88" s="804">
        <v>126842927264.614</v>
      </c>
      <c r="AB88" s="804">
        <v>134246880570.40997</v>
      </c>
      <c r="AC88" s="804">
        <v>145843619552.04453</v>
      </c>
      <c r="AD88" s="804">
        <v>166989605900.53796</v>
      </c>
      <c r="AE88" s="804">
        <v>202101449275.3623</v>
      </c>
      <c r="AF88" s="804">
        <v>195391755461.18048</v>
      </c>
      <c r="AG88" s="804">
        <v>217334169739.03275</v>
      </c>
    </row>
    <row r="89" spans="1:33">
      <c r="A89" s="22">
        <v>325</v>
      </c>
      <c r="B89" s="22" t="s">
        <v>53</v>
      </c>
      <c r="C89" s="805">
        <v>459830080714.4472</v>
      </c>
      <c r="D89" s="805">
        <v>414976039516.26642</v>
      </c>
      <c r="E89" s="805">
        <v>411671085039.37006</v>
      </c>
      <c r="F89" s="805">
        <v>426864993115.75726</v>
      </c>
      <c r="G89" s="805">
        <v>421898527771.65527</v>
      </c>
      <c r="H89" s="805">
        <v>435705088124.93665</v>
      </c>
      <c r="I89" s="805">
        <v>617003094687.6217</v>
      </c>
      <c r="J89" s="805">
        <v>776293080221.09351</v>
      </c>
      <c r="K89" s="805">
        <v>859052483338.29211</v>
      </c>
      <c r="L89" s="805">
        <v>894751916878.35168</v>
      </c>
      <c r="M89" s="805">
        <v>1133406604072.3982</v>
      </c>
      <c r="N89" s="805">
        <v>1195264703137.1936</v>
      </c>
      <c r="O89" s="805">
        <v>1265800120974.0771</v>
      </c>
      <c r="P89" s="805">
        <v>1020989390919.1584</v>
      </c>
      <c r="Q89" s="805">
        <v>1053924224303.5543</v>
      </c>
      <c r="R89" s="805">
        <v>1126041431118.5071</v>
      </c>
      <c r="S89" s="805">
        <v>1259602980298.6572</v>
      </c>
      <c r="T89" s="805">
        <v>1192322069122.3284</v>
      </c>
      <c r="U89" s="805">
        <v>1217086529497.0447</v>
      </c>
      <c r="V89" s="805">
        <v>1200821526741.9561</v>
      </c>
      <c r="W89" s="805">
        <v>1097344131195.8726</v>
      </c>
      <c r="X89" s="805">
        <v>1117358481431.7673</v>
      </c>
      <c r="Y89" s="805">
        <v>1218921247882.5522</v>
      </c>
      <c r="Z89" s="805">
        <v>1507171243792.325</v>
      </c>
      <c r="AA89" s="805">
        <v>1727825472922.2153</v>
      </c>
      <c r="AB89" s="805">
        <v>1777693953638.7605</v>
      </c>
      <c r="AC89" s="805">
        <v>1863380936371.3572</v>
      </c>
      <c r="AD89" s="805">
        <v>2116201719593.0132</v>
      </c>
      <c r="AE89" s="805">
        <v>2296497394246.1641</v>
      </c>
      <c r="AF89" s="805">
        <v>2111157906994.9976</v>
      </c>
      <c r="AG89" s="805">
        <v>2051412153369.5364</v>
      </c>
    </row>
    <row r="90" spans="1:33">
      <c r="A90" s="22">
        <v>51</v>
      </c>
      <c r="B90" s="22" t="s">
        <v>6</v>
      </c>
      <c r="C90" s="806">
        <v>2679379400.8361983</v>
      </c>
      <c r="D90" s="806">
        <v>2979027961.1214066</v>
      </c>
      <c r="E90" s="806">
        <v>3293496303.4411349</v>
      </c>
      <c r="F90" s="806">
        <v>3619262288.3812661</v>
      </c>
      <c r="G90" s="806">
        <v>2373564500.5645347</v>
      </c>
      <c r="H90" s="806">
        <v>2100239026.5344865</v>
      </c>
      <c r="I90" s="806">
        <v>2754549678.114573</v>
      </c>
      <c r="J90" s="806">
        <v>3287007232.3517065</v>
      </c>
      <c r="K90" s="806">
        <v>3828342820.4821739</v>
      </c>
      <c r="L90" s="806">
        <v>4404938028.3972034</v>
      </c>
      <c r="M90" s="806">
        <v>4592208211.5369911</v>
      </c>
      <c r="N90" s="806">
        <v>4106205952.2397323</v>
      </c>
      <c r="O90" s="806">
        <v>3535452385.9840045</v>
      </c>
      <c r="P90" s="806">
        <v>4891215396.7868376</v>
      </c>
      <c r="Q90" s="806">
        <v>4938132517.8094492</v>
      </c>
      <c r="R90" s="806">
        <v>5813471981.6399593</v>
      </c>
      <c r="S90" s="806">
        <v>6527302707.8541927</v>
      </c>
      <c r="T90" s="806">
        <v>7472532258.0162916</v>
      </c>
      <c r="U90" s="806">
        <v>8742153397.2567482</v>
      </c>
      <c r="V90" s="806">
        <v>8830909008.2705231</v>
      </c>
      <c r="W90" s="806">
        <v>9008629729.4103069</v>
      </c>
      <c r="X90" s="806">
        <v>9104515930.2098389</v>
      </c>
      <c r="Y90" s="806">
        <v>9676893928.7883263</v>
      </c>
      <c r="Z90" s="806">
        <v>9398942821.3654079</v>
      </c>
      <c r="AA90" s="806">
        <v>10134991341.824415</v>
      </c>
      <c r="AB90" s="806">
        <v>11151727459.337303</v>
      </c>
      <c r="AC90" s="806">
        <v>11989334128.566792</v>
      </c>
      <c r="AD90" s="806">
        <v>12893737820.578993</v>
      </c>
      <c r="AE90" s="806">
        <v>14121426276.673759</v>
      </c>
      <c r="AF90" s="806">
        <v>12651603067.331102</v>
      </c>
      <c r="AG90" s="806">
        <v>13994534274.6527</v>
      </c>
    </row>
    <row r="91" spans="1:33">
      <c r="A91" s="22">
        <v>663</v>
      </c>
      <c r="B91" s="22" t="s">
        <v>139</v>
      </c>
      <c r="C91" s="808">
        <v>3961735336.0745153</v>
      </c>
      <c r="D91" s="808">
        <v>4446589777.6553793</v>
      </c>
      <c r="E91" s="808">
        <v>4825925127.3787766</v>
      </c>
      <c r="F91" s="808">
        <v>5036644917.4972944</v>
      </c>
      <c r="G91" s="808">
        <v>5153655079.1359425</v>
      </c>
      <c r="H91" s="808">
        <v>5119290465.6319294</v>
      </c>
      <c r="I91" s="808">
        <v>6182314853.4429054</v>
      </c>
      <c r="J91" s="808">
        <v>6525458031.8443298</v>
      </c>
      <c r="K91" s="808">
        <v>6049822064.0569391</v>
      </c>
      <c r="L91" s="808">
        <v>4128435576.8427501</v>
      </c>
      <c r="M91" s="808">
        <v>4020267827.0093055</v>
      </c>
      <c r="N91" s="808">
        <v>4193336133.6885672</v>
      </c>
      <c r="O91" s="808">
        <v>5310833151.1913557</v>
      </c>
      <c r="P91" s="808">
        <v>5605775321.5437374</v>
      </c>
      <c r="Q91" s="808">
        <v>6237267189.0044327</v>
      </c>
      <c r="R91" s="808">
        <v>6727454310.6462317</v>
      </c>
      <c r="S91" s="808">
        <v>6928490840.9483442</v>
      </c>
      <c r="T91" s="808">
        <v>7248048122.6800709</v>
      </c>
      <c r="U91" s="808">
        <v>7914118276.9491415</v>
      </c>
      <c r="V91" s="808">
        <v>8151541084.4783974</v>
      </c>
      <c r="W91" s="808">
        <v>8463892909.2329693</v>
      </c>
      <c r="X91" s="808">
        <v>8980439920.0000019</v>
      </c>
      <c r="Y91" s="808">
        <v>9584232160</v>
      </c>
      <c r="Z91" s="808">
        <v>10197756160.000002</v>
      </c>
      <c r="AA91" s="808">
        <v>11411390546.854368</v>
      </c>
      <c r="AB91" s="808">
        <v>12588665467.812952</v>
      </c>
      <c r="AC91" s="808">
        <v>15645466528.10453</v>
      </c>
      <c r="AD91" s="808">
        <v>17765381659.884098</v>
      </c>
      <c r="AE91" s="808">
        <v>22696902203.591854</v>
      </c>
      <c r="AF91" s="808">
        <v>25092339119.31424</v>
      </c>
      <c r="AG91" s="808">
        <v>27573535999.999996</v>
      </c>
    </row>
    <row r="92" spans="1:33">
      <c r="A92" s="22">
        <v>740</v>
      </c>
      <c r="B92" s="22" t="s">
        <v>159</v>
      </c>
      <c r="C92" s="807">
        <v>1070996926887.4415</v>
      </c>
      <c r="D92" s="807">
        <v>1183790568243.342</v>
      </c>
      <c r="E92" s="807">
        <v>1100410435821.5764</v>
      </c>
      <c r="F92" s="807">
        <v>1200186348714.6108</v>
      </c>
      <c r="G92" s="807">
        <v>1275562946668.2104</v>
      </c>
      <c r="H92" s="807">
        <v>1364163785897.1274</v>
      </c>
      <c r="I92" s="807">
        <v>2020887159847.092</v>
      </c>
      <c r="J92" s="807">
        <v>2448674790424.3369</v>
      </c>
      <c r="K92" s="807">
        <v>2971032768195.8179</v>
      </c>
      <c r="L92" s="807">
        <v>2972666861886.1094</v>
      </c>
      <c r="M92" s="807">
        <v>3058038227118.1177</v>
      </c>
      <c r="N92" s="807">
        <v>3484769502927.4712</v>
      </c>
      <c r="O92" s="807">
        <v>3796114212803.1846</v>
      </c>
      <c r="P92" s="807">
        <v>4350012320387.6333</v>
      </c>
      <c r="Q92" s="807">
        <v>4778992405667.6689</v>
      </c>
      <c r="R92" s="807">
        <v>5264380244015.4961</v>
      </c>
      <c r="S92" s="807">
        <v>4642544385824.1152</v>
      </c>
      <c r="T92" s="807">
        <v>4261842006299.6475</v>
      </c>
      <c r="U92" s="807">
        <v>3857027943100.8521</v>
      </c>
      <c r="V92" s="807">
        <v>4368734790196.8975</v>
      </c>
      <c r="W92" s="807">
        <v>4667448302100.3936</v>
      </c>
      <c r="X92" s="807">
        <v>4095484283985.1265</v>
      </c>
      <c r="Y92" s="807">
        <v>3918335087887.1978</v>
      </c>
      <c r="Z92" s="807">
        <v>4229096852937.2441</v>
      </c>
      <c r="AA92" s="807">
        <v>4605920900612.7939</v>
      </c>
      <c r="AB92" s="807">
        <v>4552200185087.7354</v>
      </c>
      <c r="AC92" s="807">
        <v>4362589532154.1885</v>
      </c>
      <c r="AD92" s="807">
        <v>4377943849041.2212</v>
      </c>
      <c r="AE92" s="807">
        <v>4879861453767.9355</v>
      </c>
      <c r="AF92" s="807">
        <v>5032982758381.1494</v>
      </c>
      <c r="AG92" s="807">
        <v>5497812568085.7939</v>
      </c>
    </row>
    <row r="93" spans="1:33">
      <c r="A93" s="22">
        <v>501</v>
      </c>
      <c r="B93" s="22" t="s">
        <v>106</v>
      </c>
      <c r="C93" s="810">
        <v>7265312882.8237553</v>
      </c>
      <c r="D93" s="810">
        <v>6854490190.6604042</v>
      </c>
      <c r="E93" s="810">
        <v>6431594078.1703491</v>
      </c>
      <c r="F93" s="810">
        <v>5979205949.7427034</v>
      </c>
      <c r="G93" s="810">
        <v>6191426331.5272064</v>
      </c>
      <c r="H93" s="810">
        <v>6135040560.8534517</v>
      </c>
      <c r="I93" s="810">
        <v>7239145306.5199041</v>
      </c>
      <c r="J93" s="810">
        <v>7970816493.9682159</v>
      </c>
      <c r="K93" s="810">
        <v>8355380879.1295481</v>
      </c>
      <c r="L93" s="810">
        <v>8271729985.9683714</v>
      </c>
      <c r="M93" s="810">
        <v>8590574252.4029751</v>
      </c>
      <c r="N93" s="810">
        <v>8152105054.2544918</v>
      </c>
      <c r="O93" s="810">
        <v>8220718082.6543894</v>
      </c>
      <c r="P93" s="810">
        <v>5751786609.5032291</v>
      </c>
      <c r="Q93" s="810">
        <v>7148143144.0072908</v>
      </c>
      <c r="R93" s="810">
        <v>9046331923.2117844</v>
      </c>
      <c r="S93" s="810">
        <v>12045836991.709053</v>
      </c>
      <c r="T93" s="810">
        <v>13115729422.006323</v>
      </c>
      <c r="U93" s="810">
        <v>14093228424.714262</v>
      </c>
      <c r="V93" s="810">
        <v>12896050251.685011</v>
      </c>
      <c r="W93" s="810">
        <v>12691278914.240755</v>
      </c>
      <c r="X93" s="810">
        <v>12986519857.433807</v>
      </c>
      <c r="Y93" s="810">
        <v>13149263398.526798</v>
      </c>
      <c r="Z93" s="810">
        <v>14903634448.248617</v>
      </c>
      <c r="AA93" s="810">
        <v>16096109637.488947</v>
      </c>
      <c r="AB93" s="810">
        <v>18737922545.464172</v>
      </c>
      <c r="AC93" s="810">
        <v>22502239913.454739</v>
      </c>
      <c r="AD93" s="810">
        <v>27173670133.729568</v>
      </c>
      <c r="AE93" s="810">
        <v>30031427402.555538</v>
      </c>
      <c r="AF93" s="810">
        <v>29375775193.798447</v>
      </c>
      <c r="AG93" s="810">
        <v>31408632915.3409</v>
      </c>
    </row>
    <row r="94" spans="1:33">
      <c r="A94" s="22">
        <v>946</v>
      </c>
      <c r="B94" s="22" t="s">
        <v>182</v>
      </c>
      <c r="C94" s="811">
        <v>27935549.988613073</v>
      </c>
      <c r="D94" s="811">
        <v>29307055.849230062</v>
      </c>
      <c r="E94" s="811">
        <v>29659194.644487269</v>
      </c>
      <c r="F94" s="811">
        <v>29432432.432432428</v>
      </c>
      <c r="G94" s="811">
        <v>28646774.901272491</v>
      </c>
      <c r="H94" s="811">
        <v>21294783.155248273</v>
      </c>
      <c r="I94" s="811">
        <v>20572860.962566845</v>
      </c>
      <c r="J94" s="811">
        <v>23924520.37529758</v>
      </c>
      <c r="K94" s="811">
        <v>30842253.301039144</v>
      </c>
      <c r="L94" s="811">
        <v>29558753.756128423</v>
      </c>
      <c r="M94" s="811">
        <v>28413863.08641012</v>
      </c>
      <c r="N94" s="811">
        <v>47797290.475704871</v>
      </c>
      <c r="O94" s="811">
        <v>49724297.119709827</v>
      </c>
      <c r="P94" s="811">
        <v>48613513.776368514</v>
      </c>
      <c r="Q94" s="811">
        <v>56200396.147131935</v>
      </c>
      <c r="R94" s="811">
        <v>57610362.173934363</v>
      </c>
      <c r="S94" s="811">
        <v>67866700.010400534</v>
      </c>
      <c r="T94" s="811">
        <v>69151989.758813649</v>
      </c>
      <c r="U94" s="811">
        <v>67096993.686780922</v>
      </c>
      <c r="V94" s="811">
        <v>70595807.352037713</v>
      </c>
      <c r="W94" s="811">
        <v>68239320.704977408</v>
      </c>
      <c r="X94" s="811">
        <v>63810762.051791042</v>
      </c>
      <c r="Y94" s="811">
        <v>74173806.513134554</v>
      </c>
      <c r="Z94" s="811">
        <v>93517283.94828029</v>
      </c>
      <c r="AA94" s="811">
        <v>102405530.24037004</v>
      </c>
      <c r="AB94" s="811">
        <v>108938510.69547655</v>
      </c>
      <c r="AC94" s="811">
        <v>109671822.17622669</v>
      </c>
      <c r="AD94" s="811">
        <v>127854317.32057533</v>
      </c>
      <c r="AE94" s="811">
        <v>132506609.31113404</v>
      </c>
      <c r="AF94" s="811">
        <v>128004027.81442678</v>
      </c>
      <c r="AG94" s="811">
        <v>151175993.97967243</v>
      </c>
    </row>
    <row r="95" spans="1:33" s="534" customFormat="1">
      <c r="A95" s="22">
        <v>347</v>
      </c>
      <c r="B95" s="22" t="s">
        <v>196</v>
      </c>
      <c r="C95" s="813"/>
      <c r="D95" s="813"/>
      <c r="E95" s="813"/>
      <c r="F95" s="813"/>
      <c r="G95" s="813"/>
      <c r="H95" s="813"/>
      <c r="I95" s="813"/>
      <c r="J95" s="813"/>
      <c r="K95" s="813"/>
      <c r="L95" s="813"/>
      <c r="M95" s="813"/>
      <c r="N95" s="813"/>
      <c r="O95" s="813"/>
      <c r="P95" s="813"/>
      <c r="Q95" s="813"/>
      <c r="R95" s="813"/>
      <c r="S95" s="813"/>
      <c r="T95" s="813"/>
      <c r="U95" s="813"/>
      <c r="V95" s="813"/>
      <c r="W95" s="813">
        <v>1849196082.055073</v>
      </c>
      <c r="X95" s="813">
        <v>2535333631.8853559</v>
      </c>
      <c r="Y95" s="813">
        <v>2702427046.9354992</v>
      </c>
      <c r="Z95" s="813">
        <v>3355083116.5893927</v>
      </c>
      <c r="AA95" s="813">
        <v>3639935347.5071492</v>
      </c>
      <c r="AB95" s="813">
        <v>3743116980.1918526</v>
      </c>
      <c r="AC95" s="813">
        <v>3915494726.2682071</v>
      </c>
      <c r="AD95" s="813">
        <v>4677361256.464571</v>
      </c>
      <c r="AE95" s="813">
        <v>5641557748.4818363</v>
      </c>
      <c r="AF95" s="813">
        <v>5434843011.9477634</v>
      </c>
      <c r="AG95" s="813">
        <v>5590728476.8211918</v>
      </c>
    </row>
    <row r="96" spans="1:33">
      <c r="A96" s="22">
        <v>690</v>
      </c>
      <c r="B96" s="22" t="s">
        <v>143</v>
      </c>
      <c r="C96" s="814">
        <v>28638869293.525043</v>
      </c>
      <c r="D96" s="814">
        <v>25058021180.463306</v>
      </c>
      <c r="E96" s="814">
        <v>21577153432.871487</v>
      </c>
      <c r="F96" s="814">
        <v>20871081551.933731</v>
      </c>
      <c r="G96" s="814">
        <v>21700083143.390202</v>
      </c>
      <c r="H96" s="814">
        <v>21445970692.875355</v>
      </c>
      <c r="I96" s="814">
        <v>17903989900.477585</v>
      </c>
      <c r="J96" s="814">
        <v>22368703292.576698</v>
      </c>
      <c r="K96" s="814">
        <v>20690321183.021996</v>
      </c>
      <c r="L96" s="814">
        <v>24313856915.388397</v>
      </c>
      <c r="M96" s="814">
        <v>18427778571.053085</v>
      </c>
      <c r="N96" s="814">
        <v>11009955543.001162</v>
      </c>
      <c r="O96" s="814">
        <v>19858555904.671719</v>
      </c>
      <c r="P96" s="814">
        <v>23941392354.530529</v>
      </c>
      <c r="Q96" s="814">
        <v>24848484744.528404</v>
      </c>
      <c r="R96" s="814">
        <v>27191687674.073669</v>
      </c>
      <c r="S96" s="814">
        <v>31492937200.880135</v>
      </c>
      <c r="T96" s="814">
        <v>30350433059.966885</v>
      </c>
      <c r="U96" s="814">
        <v>25946185993.552101</v>
      </c>
      <c r="V96" s="814">
        <v>30120888963.680573</v>
      </c>
      <c r="W96" s="814">
        <v>37718011468.574898</v>
      </c>
      <c r="X96" s="814">
        <v>34890773740.217804</v>
      </c>
      <c r="Y96" s="814">
        <v>38138801497.245819</v>
      </c>
      <c r="Z96" s="814">
        <v>47875837662.153885</v>
      </c>
      <c r="AA96" s="814">
        <v>59440511981.757591</v>
      </c>
      <c r="AB96" s="814">
        <v>80797945205.479462</v>
      </c>
      <c r="AC96" s="814">
        <v>101561153806.38936</v>
      </c>
      <c r="AD96" s="814">
        <v>114739436619.71832</v>
      </c>
      <c r="AE96" s="814">
        <v>148023721297.0817</v>
      </c>
      <c r="AF96" s="814"/>
      <c r="AG96" s="814"/>
    </row>
    <row r="97" spans="1:33">
      <c r="A97" s="22">
        <v>703</v>
      </c>
      <c r="B97" s="22" t="s">
        <v>151</v>
      </c>
      <c r="C97" s="815"/>
      <c r="D97" s="815"/>
      <c r="E97" s="815"/>
      <c r="F97" s="815"/>
      <c r="G97" s="815"/>
      <c r="H97" s="815"/>
      <c r="I97" s="815"/>
      <c r="J97" s="815"/>
      <c r="K97" s="815"/>
      <c r="L97" s="815"/>
      <c r="M97" s="815">
        <v>2674000000</v>
      </c>
      <c r="N97" s="815">
        <v>2570833333.3333335</v>
      </c>
      <c r="O97" s="815">
        <v>2316562400</v>
      </c>
      <c r="P97" s="815">
        <v>2028295454.5454545</v>
      </c>
      <c r="Q97" s="815">
        <v>1681006993.0069928</v>
      </c>
      <c r="R97" s="815">
        <v>1661018518.5185184</v>
      </c>
      <c r="S97" s="815">
        <v>1827570586.1678448</v>
      </c>
      <c r="T97" s="815">
        <v>1767864035.7194295</v>
      </c>
      <c r="U97" s="815">
        <v>1645963749.8314617</v>
      </c>
      <c r="V97" s="815">
        <v>1249062025.1380541</v>
      </c>
      <c r="W97" s="815">
        <v>1369691955.022125</v>
      </c>
      <c r="X97" s="815">
        <v>1525113501.1103437</v>
      </c>
      <c r="Y97" s="815">
        <v>1605640633.4218886</v>
      </c>
      <c r="Z97" s="815">
        <v>1919012780.9708598</v>
      </c>
      <c r="AA97" s="815">
        <v>2211535311.6283431</v>
      </c>
      <c r="AB97" s="815">
        <v>2459876151.9332976</v>
      </c>
      <c r="AC97" s="815">
        <v>2834168889.4201913</v>
      </c>
      <c r="AD97" s="815">
        <v>3802566170.8154349</v>
      </c>
      <c r="AE97" s="815">
        <v>5139957784.91084</v>
      </c>
      <c r="AF97" s="815">
        <v>4690031791.6111164</v>
      </c>
      <c r="AG97" s="815">
        <v>4616156122.1825781</v>
      </c>
    </row>
    <row r="98" spans="1:33">
      <c r="A98" s="22">
        <v>705</v>
      </c>
      <c r="B98" s="22" t="s">
        <v>153</v>
      </c>
      <c r="C98" s="809"/>
      <c r="D98" s="809"/>
      <c r="E98" s="809"/>
      <c r="F98" s="809"/>
      <c r="G98" s="809"/>
      <c r="H98" s="809"/>
      <c r="I98" s="809"/>
      <c r="J98" s="809"/>
      <c r="K98" s="809"/>
      <c r="L98" s="809"/>
      <c r="M98" s="809">
        <v>26932728898.81461</v>
      </c>
      <c r="N98" s="809">
        <v>24881135586.39896</v>
      </c>
      <c r="O98" s="809">
        <v>24906939560.10984</v>
      </c>
      <c r="P98" s="809">
        <v>23409027475.687862</v>
      </c>
      <c r="Q98" s="809">
        <v>21250839258.090054</v>
      </c>
      <c r="R98" s="809">
        <v>20374307047.114986</v>
      </c>
      <c r="S98" s="809">
        <v>21035357832.801918</v>
      </c>
      <c r="T98" s="809">
        <v>22165932062.96603</v>
      </c>
      <c r="U98" s="809">
        <v>22135245413.231174</v>
      </c>
      <c r="V98" s="809">
        <v>16870817134.77667</v>
      </c>
      <c r="W98" s="809">
        <v>18291990619.137001</v>
      </c>
      <c r="X98" s="809">
        <v>22152689129.55827</v>
      </c>
      <c r="Y98" s="809">
        <v>24636598581.020412</v>
      </c>
      <c r="Z98" s="809">
        <v>30833692831.395512</v>
      </c>
      <c r="AA98" s="809">
        <v>43151647002.609627</v>
      </c>
      <c r="AB98" s="809">
        <v>57123671733.895248</v>
      </c>
      <c r="AC98" s="809">
        <v>81003864915.51474</v>
      </c>
      <c r="AD98" s="809">
        <v>104853480212.15831</v>
      </c>
      <c r="AE98" s="809">
        <v>133441571813.62192</v>
      </c>
      <c r="AF98" s="809">
        <v>115306081355.93221</v>
      </c>
      <c r="AG98" s="809">
        <v>142986931559.8385</v>
      </c>
    </row>
    <row r="99" spans="1:33">
      <c r="A99" s="22">
        <v>812</v>
      </c>
      <c r="B99" s="22" t="s">
        <v>170</v>
      </c>
      <c r="C99" s="816"/>
      <c r="D99" s="816"/>
      <c r="E99" s="816"/>
      <c r="F99" s="816"/>
      <c r="G99" s="816">
        <v>1757142805.942857</v>
      </c>
      <c r="H99" s="816">
        <v>2366666615.4666667</v>
      </c>
      <c r="I99" s="816">
        <v>1776842040.5894737</v>
      </c>
      <c r="J99" s="816">
        <v>1087273076.3886132</v>
      </c>
      <c r="K99" s="816">
        <v>598961279.42060745</v>
      </c>
      <c r="L99" s="816">
        <v>714046803.1943084</v>
      </c>
      <c r="M99" s="816">
        <v>865559856.19780993</v>
      </c>
      <c r="N99" s="816">
        <v>1028087947.2626159</v>
      </c>
      <c r="O99" s="816">
        <v>1127806917.7381797</v>
      </c>
      <c r="P99" s="816">
        <v>1327748654.6429319</v>
      </c>
      <c r="Q99" s="816">
        <v>1543606381.8690934</v>
      </c>
      <c r="R99" s="816">
        <v>1763536299.2239146</v>
      </c>
      <c r="S99" s="816">
        <v>1873671510.5739868</v>
      </c>
      <c r="T99" s="816">
        <v>1747011884.411916</v>
      </c>
      <c r="U99" s="816">
        <v>1280177847.1948245</v>
      </c>
      <c r="V99" s="816">
        <v>1454430642.0169237</v>
      </c>
      <c r="W99" s="816">
        <v>1735155219.367352</v>
      </c>
      <c r="X99" s="816">
        <v>1768619058.3464744</v>
      </c>
      <c r="Y99" s="816">
        <v>1829660932.6837029</v>
      </c>
      <c r="Z99" s="816">
        <v>2148830163.5602889</v>
      </c>
      <c r="AA99" s="816">
        <v>2507094677.5747728</v>
      </c>
      <c r="AB99" s="816">
        <v>2737954258.9938407</v>
      </c>
      <c r="AC99" s="816">
        <v>3496914740.3987598</v>
      </c>
      <c r="AD99" s="816">
        <v>4262459184.9872427</v>
      </c>
      <c r="AE99" s="816">
        <v>5494004074.5460939</v>
      </c>
      <c r="AF99" s="816">
        <v>6094387966.1923351</v>
      </c>
      <c r="AG99" s="816">
        <v>7490507960.2259598</v>
      </c>
    </row>
    <row r="100" spans="1:33">
      <c r="A100" s="22">
        <v>367</v>
      </c>
      <c r="B100" s="22" t="s">
        <v>69</v>
      </c>
      <c r="C100" s="817"/>
      <c r="D100" s="817"/>
      <c r="E100" s="817"/>
      <c r="F100" s="817"/>
      <c r="G100" s="817"/>
      <c r="H100" s="817"/>
      <c r="I100" s="817"/>
      <c r="J100" s="817">
        <v>5715853652.8778267</v>
      </c>
      <c r="K100" s="817">
        <v>6827011058.9670134</v>
      </c>
      <c r="L100" s="817">
        <v>7690315589.1466532</v>
      </c>
      <c r="M100" s="817">
        <v>7447002856.7553034</v>
      </c>
      <c r="N100" s="817">
        <v>6756418263.6945095</v>
      </c>
      <c r="O100" s="817">
        <v>4848056772.313653</v>
      </c>
      <c r="P100" s="817">
        <v>4467987271.302022</v>
      </c>
      <c r="Q100" s="817">
        <v>5060854731.0547667</v>
      </c>
      <c r="R100" s="817">
        <v>5235719778.6715956</v>
      </c>
      <c r="S100" s="817">
        <v>5585292782.5692244</v>
      </c>
      <c r="T100" s="817">
        <v>6133234179.7537336</v>
      </c>
      <c r="U100" s="817">
        <v>6616957681.2419777</v>
      </c>
      <c r="V100" s="817">
        <v>7288524472.5010128</v>
      </c>
      <c r="W100" s="817">
        <v>7833068425.3915901</v>
      </c>
      <c r="X100" s="817">
        <v>8313047743.5712051</v>
      </c>
      <c r="Y100" s="817">
        <v>9314784080.0269184</v>
      </c>
      <c r="Z100" s="817">
        <v>11186452600.726192</v>
      </c>
      <c r="AA100" s="817">
        <v>13761569544.992624</v>
      </c>
      <c r="AB100" s="817">
        <v>16041840426.266607</v>
      </c>
      <c r="AC100" s="817">
        <v>19935046397.216274</v>
      </c>
      <c r="AD100" s="817">
        <v>28765687041.650444</v>
      </c>
      <c r="AE100" s="817">
        <v>33669367720.465889</v>
      </c>
      <c r="AF100" s="817">
        <v>25875781249.999996</v>
      </c>
      <c r="AG100" s="817">
        <v>24009680459.986805</v>
      </c>
    </row>
    <row r="101" spans="1:33">
      <c r="A101" s="22">
        <v>450</v>
      </c>
      <c r="B101" s="22" t="s">
        <v>94</v>
      </c>
      <c r="C101" s="820">
        <v>953588224</v>
      </c>
      <c r="D101" s="820">
        <v>934974208</v>
      </c>
      <c r="E101" s="820">
        <v>958028288</v>
      </c>
      <c r="F101" s="820">
        <v>911066112</v>
      </c>
      <c r="G101" s="820">
        <v>934120256</v>
      </c>
      <c r="H101" s="820">
        <v>934974208</v>
      </c>
      <c r="I101" s="820">
        <v>926435520</v>
      </c>
      <c r="J101" s="820">
        <v>972800000</v>
      </c>
      <c r="K101" s="820">
        <v>1038300032</v>
      </c>
      <c r="L101" s="820">
        <v>786300032</v>
      </c>
      <c r="M101" s="820">
        <v>384400000</v>
      </c>
      <c r="N101" s="820">
        <v>348000000</v>
      </c>
      <c r="O101" s="820">
        <v>223500000</v>
      </c>
      <c r="P101" s="820">
        <v>160400000</v>
      </c>
      <c r="Q101" s="820">
        <v>132200000</v>
      </c>
      <c r="R101" s="820">
        <v>134800000</v>
      </c>
      <c r="S101" s="820">
        <v>159400000</v>
      </c>
      <c r="T101" s="820">
        <v>295900000</v>
      </c>
      <c r="U101" s="820">
        <v>359600012.47343785</v>
      </c>
      <c r="V101" s="820">
        <v>441800017.76950455</v>
      </c>
      <c r="W101" s="820">
        <v>560900012.21772099</v>
      </c>
      <c r="X101" s="820">
        <v>543000031.66641986</v>
      </c>
      <c r="Y101" s="820">
        <v>559300023.58193457</v>
      </c>
      <c r="Z101" s="820">
        <v>410200003.557455</v>
      </c>
      <c r="AA101" s="820">
        <v>459999996.15561658</v>
      </c>
      <c r="AB101" s="820">
        <v>530200009.33562338</v>
      </c>
      <c r="AC101" s="820">
        <v>611859674.73748279</v>
      </c>
      <c r="AD101" s="820">
        <v>734933279.19691932</v>
      </c>
      <c r="AE101" s="820">
        <v>842507277.55980265</v>
      </c>
      <c r="AF101" s="820">
        <v>879464612.59097624</v>
      </c>
      <c r="AG101" s="820">
        <v>986201593.73689365</v>
      </c>
    </row>
    <row r="102" spans="1:33">
      <c r="A102" s="22">
        <v>660</v>
      </c>
      <c r="B102" s="22" t="s">
        <v>138</v>
      </c>
      <c r="C102" s="818"/>
      <c r="D102" s="818"/>
      <c r="E102" s="818"/>
      <c r="F102" s="818"/>
      <c r="G102" s="818"/>
      <c r="H102" s="818"/>
      <c r="I102" s="818"/>
      <c r="J102" s="818"/>
      <c r="K102" s="818">
        <v>3313539979.093328</v>
      </c>
      <c r="L102" s="818">
        <v>2717998713.0455961</v>
      </c>
      <c r="M102" s="818">
        <v>2838485397.8865185</v>
      </c>
      <c r="N102" s="818">
        <v>4451497337.4198732</v>
      </c>
      <c r="O102" s="818">
        <v>5545921820.955534</v>
      </c>
      <c r="P102" s="818">
        <v>7535259914.4276791</v>
      </c>
      <c r="Q102" s="818">
        <v>9599127189.4512501</v>
      </c>
      <c r="R102" s="818">
        <v>11718795352.057894</v>
      </c>
      <c r="S102" s="818">
        <v>13690217120.560455</v>
      </c>
      <c r="T102" s="818">
        <v>15751867489.444624</v>
      </c>
      <c r="U102" s="818">
        <v>17247179483.215706</v>
      </c>
      <c r="V102" s="818">
        <v>17391056436.806938</v>
      </c>
      <c r="W102" s="818">
        <v>17260364842.454395</v>
      </c>
      <c r="X102" s="818">
        <v>17649751243.781094</v>
      </c>
      <c r="Y102" s="818">
        <v>19152238805.97015</v>
      </c>
      <c r="Z102" s="818">
        <v>20082918739.635159</v>
      </c>
      <c r="AA102" s="818">
        <v>21801658374.792702</v>
      </c>
      <c r="AB102" s="818">
        <v>21838805970.149254</v>
      </c>
      <c r="AC102" s="818">
        <v>22437147595.356552</v>
      </c>
      <c r="AD102" s="818">
        <v>25056716417.910446</v>
      </c>
      <c r="AE102" s="818">
        <v>30079601990.049751</v>
      </c>
      <c r="AF102" s="818">
        <v>34924709784.411942</v>
      </c>
      <c r="AG102" s="818">
        <v>39154916945.81015</v>
      </c>
    </row>
    <row r="103" spans="1:33">
      <c r="A103" s="22">
        <v>570</v>
      </c>
      <c r="B103" s="22" t="s">
        <v>121</v>
      </c>
      <c r="C103" s="819">
        <v>431450586.37887686</v>
      </c>
      <c r="D103" s="819">
        <v>433940764.11795038</v>
      </c>
      <c r="E103" s="819">
        <v>401841633.32977855</v>
      </c>
      <c r="F103" s="819">
        <v>418043101.92854798</v>
      </c>
      <c r="G103" s="819">
        <v>365491541.21084875</v>
      </c>
      <c r="H103" s="819">
        <v>289905775.44115514</v>
      </c>
      <c r="I103" s="819">
        <v>323194722.21443063</v>
      </c>
      <c r="J103" s="819">
        <v>364214815.66531849</v>
      </c>
      <c r="K103" s="819">
        <v>423590347.45128626</v>
      </c>
      <c r="L103" s="819">
        <v>448661739.37948757</v>
      </c>
      <c r="M103" s="819">
        <v>540781148.18595362</v>
      </c>
      <c r="N103" s="819">
        <v>599015735.04381013</v>
      </c>
      <c r="O103" s="819">
        <v>708187243.68644309</v>
      </c>
      <c r="P103" s="819">
        <v>705874860.40876245</v>
      </c>
      <c r="Q103" s="819">
        <v>738211154.69249403</v>
      </c>
      <c r="R103" s="819">
        <v>814280442.52511835</v>
      </c>
      <c r="S103" s="819">
        <v>796081272.53857136</v>
      </c>
      <c r="T103" s="819">
        <v>837654100.1840297</v>
      </c>
      <c r="U103" s="819">
        <v>800117786.22047508</v>
      </c>
      <c r="V103" s="819">
        <v>783167363.67055202</v>
      </c>
      <c r="W103" s="819">
        <v>745832990.09221077</v>
      </c>
      <c r="X103" s="819">
        <v>686484199.48592162</v>
      </c>
      <c r="Y103" s="819">
        <v>638601203.29092085</v>
      </c>
      <c r="Z103" s="819">
        <v>947163200.75159359</v>
      </c>
      <c r="AA103" s="819">
        <v>1234520116.5490401</v>
      </c>
      <c r="AB103" s="819">
        <v>1354859672.288389</v>
      </c>
      <c r="AC103" s="819">
        <v>1414900686.7016172</v>
      </c>
      <c r="AD103" s="819">
        <v>1581173531.6660516</v>
      </c>
      <c r="AE103" s="819">
        <v>1600614922.7715101</v>
      </c>
      <c r="AF103" s="819">
        <v>1720263875.2847047</v>
      </c>
      <c r="AG103" s="819">
        <v>2132495560.7157493</v>
      </c>
    </row>
    <row r="104" spans="1:33">
      <c r="A104" s="22">
        <v>620</v>
      </c>
      <c r="B104" s="22" t="s">
        <v>131</v>
      </c>
      <c r="C104" s="821"/>
      <c r="D104" s="821"/>
      <c r="E104" s="821"/>
      <c r="F104" s="821"/>
      <c r="G104" s="821"/>
      <c r="H104" s="821"/>
      <c r="I104" s="821"/>
      <c r="J104" s="821"/>
      <c r="K104" s="821"/>
      <c r="L104" s="821"/>
      <c r="M104" s="821">
        <v>28904898117.738464</v>
      </c>
      <c r="N104" s="821">
        <v>31992732972.356792</v>
      </c>
      <c r="O104" s="821">
        <v>33887047909.274632</v>
      </c>
      <c r="P104" s="821">
        <v>30660051910.503666</v>
      </c>
      <c r="Q104" s="821">
        <v>28610549763.468513</v>
      </c>
      <c r="R104" s="821">
        <v>25541379186.645782</v>
      </c>
      <c r="S104" s="821">
        <v>27884615384.615383</v>
      </c>
      <c r="T104" s="821">
        <v>30700897874.870354</v>
      </c>
      <c r="U104" s="821">
        <v>27251534529.589153</v>
      </c>
      <c r="V104" s="821">
        <v>30484399895.647152</v>
      </c>
      <c r="W104" s="821">
        <v>33896600870.770611</v>
      </c>
      <c r="X104" s="821">
        <v>28420321951.541992</v>
      </c>
      <c r="Y104" s="821">
        <v>19842519685.039371</v>
      </c>
      <c r="Z104" s="821">
        <v>24062500000</v>
      </c>
      <c r="AA104" s="821">
        <v>33384615384.615383</v>
      </c>
      <c r="AB104" s="821">
        <v>44000000000</v>
      </c>
      <c r="AC104" s="821">
        <v>56484375000</v>
      </c>
      <c r="AD104" s="821">
        <v>71803278688.524597</v>
      </c>
      <c r="AE104" s="821">
        <v>93167701863.354034</v>
      </c>
      <c r="AF104" s="821">
        <v>62360446570.972885</v>
      </c>
      <c r="AG104" s="821"/>
    </row>
    <row r="105" spans="1:33" s="534" customFormat="1">
      <c r="A105" s="22">
        <v>223</v>
      </c>
      <c r="B105" s="22" t="s">
        <v>42</v>
      </c>
      <c r="C105" s="822">
        <v>534699256.77262425</v>
      </c>
      <c r="D105" s="822">
        <v>511647837.14685524</v>
      </c>
      <c r="E105" s="822">
        <v>522096760.52682042</v>
      </c>
      <c r="F105" s="822">
        <v>524023708.33174914</v>
      </c>
      <c r="G105" s="822">
        <v>502620920.65653336</v>
      </c>
      <c r="H105" s="822">
        <v>529073612.45357889</v>
      </c>
      <c r="I105" s="822">
        <v>779357946.98469985</v>
      </c>
      <c r="J105" s="822">
        <v>1052849231.319468</v>
      </c>
      <c r="K105" s="822">
        <v>1161757671.0175631</v>
      </c>
      <c r="L105" s="822">
        <v>1119983791.4329813</v>
      </c>
      <c r="M105" s="822">
        <v>1421508901.193172</v>
      </c>
      <c r="N105" s="822">
        <v>1484160640.1710806</v>
      </c>
      <c r="O105" s="822">
        <v>1631176617.1919761</v>
      </c>
      <c r="P105" s="822">
        <v>1673085622.7934587</v>
      </c>
      <c r="Q105" s="822">
        <v>1948128895.9323826</v>
      </c>
      <c r="R105" s="822">
        <v>2428524749.6939597</v>
      </c>
      <c r="S105" s="822">
        <v>2504013003.9400973</v>
      </c>
      <c r="T105" s="822">
        <v>2298390584.3848243</v>
      </c>
      <c r="U105" s="822">
        <v>2479698578.6624069</v>
      </c>
      <c r="V105" s="822">
        <v>2664105901.1886258</v>
      </c>
      <c r="W105" s="822">
        <v>2483890593.705452</v>
      </c>
      <c r="X105" s="822">
        <v>2491800558.7767353</v>
      </c>
      <c r="Y105" s="822">
        <v>2688617884.8748002</v>
      </c>
      <c r="Z105" s="822">
        <v>3070803431.4759965</v>
      </c>
      <c r="AA105" s="822">
        <v>3454374260.7367096</v>
      </c>
      <c r="AB105" s="822">
        <v>3658356377.8098326</v>
      </c>
      <c r="AC105" s="822">
        <v>3988775843.8720517</v>
      </c>
      <c r="AD105" s="822">
        <v>4602346923.4032249</v>
      </c>
      <c r="AE105" s="822">
        <v>4929414914.7346935</v>
      </c>
      <c r="AF105" s="822">
        <v>4826167676.3641043</v>
      </c>
      <c r="AG105" s="822"/>
    </row>
    <row r="106" spans="1:33">
      <c r="A106" s="22">
        <v>368</v>
      </c>
      <c r="B106" s="22" t="s">
        <v>70</v>
      </c>
      <c r="C106" s="823"/>
      <c r="D106" s="823"/>
      <c r="E106" s="823"/>
      <c r="F106" s="823"/>
      <c r="G106" s="823"/>
      <c r="H106" s="823"/>
      <c r="I106" s="823"/>
      <c r="J106" s="823"/>
      <c r="K106" s="823"/>
      <c r="L106" s="823"/>
      <c r="M106" s="823">
        <v>10506695073.805399</v>
      </c>
      <c r="N106" s="823">
        <v>10287023246.233986</v>
      </c>
      <c r="O106" s="823">
        <v>8562311026.8887358</v>
      </c>
      <c r="P106" s="823">
        <v>7424597884.3497124</v>
      </c>
      <c r="Q106" s="823">
        <v>6958636949.8062859</v>
      </c>
      <c r="R106" s="823">
        <v>7904895790.9877281</v>
      </c>
      <c r="S106" s="823">
        <v>8426600000</v>
      </c>
      <c r="T106" s="823">
        <v>10128700000</v>
      </c>
      <c r="U106" s="823">
        <v>11254050000</v>
      </c>
      <c r="V106" s="823">
        <v>10971375000</v>
      </c>
      <c r="W106" s="823">
        <v>11434200000</v>
      </c>
      <c r="X106" s="823">
        <v>12159225000</v>
      </c>
      <c r="Y106" s="823">
        <v>14163949141.899889</v>
      </c>
      <c r="Z106" s="823">
        <v>18608709856.578129</v>
      </c>
      <c r="AA106" s="823">
        <v>22551543054.456516</v>
      </c>
      <c r="AB106" s="823">
        <v>25962254180.802864</v>
      </c>
      <c r="AC106" s="823">
        <v>30088510798.099277</v>
      </c>
      <c r="AD106" s="823">
        <v>39103973050.62915</v>
      </c>
      <c r="AE106" s="823">
        <v>47252926428.66983</v>
      </c>
      <c r="AF106" s="823">
        <v>36846183172.302734</v>
      </c>
      <c r="AG106" s="823">
        <v>36306384146.107506</v>
      </c>
    </row>
    <row r="107" spans="1:33">
      <c r="A107" s="22">
        <v>212</v>
      </c>
      <c r="B107" s="22" t="s">
        <v>39</v>
      </c>
      <c r="C107" s="824">
        <v>5968793350.8070078</v>
      </c>
      <c r="D107" s="824">
        <v>5010840297.6966534</v>
      </c>
      <c r="E107" s="824">
        <v>4563316139.8551998</v>
      </c>
      <c r="F107" s="824">
        <v>4485879258.3826427</v>
      </c>
      <c r="G107" s="824">
        <v>4400823750.3490648</v>
      </c>
      <c r="H107" s="824">
        <v>4538423975.8135748</v>
      </c>
      <c r="I107" s="824">
        <v>6628940635.7233162</v>
      </c>
      <c r="J107" s="824">
        <v>8250389324.6893568</v>
      </c>
      <c r="K107" s="824">
        <v>9338357509.5995617</v>
      </c>
      <c r="L107" s="824">
        <v>9952613718.2637177</v>
      </c>
      <c r="M107" s="824">
        <v>12670503211.009174</v>
      </c>
      <c r="N107" s="824">
        <v>13716986284.701712</v>
      </c>
      <c r="O107" s="824">
        <v>15387195181.932245</v>
      </c>
      <c r="P107" s="824">
        <v>15790566791.044775</v>
      </c>
      <c r="Q107" s="824">
        <v>17551791415.481071</v>
      </c>
      <c r="R107" s="824">
        <v>20676382047.071701</v>
      </c>
      <c r="S107" s="824">
        <v>20581889250.814335</v>
      </c>
      <c r="T107" s="824">
        <v>18516801984.66396</v>
      </c>
      <c r="U107" s="824">
        <v>19353856412.536118</v>
      </c>
      <c r="V107" s="824">
        <v>21187726401.0228</v>
      </c>
      <c r="W107" s="824">
        <v>20269578035.747192</v>
      </c>
      <c r="X107" s="824">
        <v>20198926174.496647</v>
      </c>
      <c r="Y107" s="824">
        <v>22578863165.819687</v>
      </c>
      <c r="Z107" s="824">
        <v>29158352144.469524</v>
      </c>
      <c r="AA107" s="824">
        <v>34091250550.992409</v>
      </c>
      <c r="AB107" s="824">
        <v>37659180221.857437</v>
      </c>
      <c r="AC107" s="824">
        <v>42552321358.454773</v>
      </c>
      <c r="AD107" s="824">
        <v>51312004029.355164</v>
      </c>
      <c r="AE107" s="824">
        <v>58071556743.692093</v>
      </c>
      <c r="AF107" s="824">
        <v>52890560858.409401</v>
      </c>
      <c r="AG107" s="824">
        <v>55095629139.072845</v>
      </c>
    </row>
    <row r="108" spans="1:33">
      <c r="A108" s="22">
        <v>435</v>
      </c>
      <c r="B108" s="22" t="s">
        <v>89</v>
      </c>
      <c r="C108" s="832">
        <v>709041434.96811604</v>
      </c>
      <c r="D108" s="832">
        <v>747994654.5450834</v>
      </c>
      <c r="E108" s="832">
        <v>750214454.4561516</v>
      </c>
      <c r="F108" s="832">
        <v>788371864.70238137</v>
      </c>
      <c r="G108" s="832">
        <v>726937312.31993008</v>
      </c>
      <c r="H108" s="832">
        <v>683193891.64536142</v>
      </c>
      <c r="I108" s="832">
        <v>802890733.06890762</v>
      </c>
      <c r="J108" s="832">
        <v>909820553.07588172</v>
      </c>
      <c r="K108" s="832">
        <v>957377480.15834916</v>
      </c>
      <c r="L108" s="832">
        <v>981529425.24208164</v>
      </c>
      <c r="M108" s="832">
        <v>1019600783.0589839</v>
      </c>
      <c r="N108" s="832">
        <v>1130247027.6328318</v>
      </c>
      <c r="O108" s="832">
        <v>1464392409.3344104</v>
      </c>
      <c r="P108" s="832">
        <v>1249945001.9584167</v>
      </c>
      <c r="Q108" s="832">
        <v>1315932677.5999222</v>
      </c>
      <c r="R108" s="832">
        <v>1415296645.189544</v>
      </c>
      <c r="S108" s="832">
        <v>1442598429.5659144</v>
      </c>
      <c r="T108" s="832">
        <v>1401946882.2215855</v>
      </c>
      <c r="U108" s="832">
        <v>1222433071.7579229</v>
      </c>
      <c r="V108" s="832">
        <v>1194629187.7390127</v>
      </c>
      <c r="W108" s="832">
        <v>1081168277.746254</v>
      </c>
      <c r="X108" s="832">
        <v>1121565583.3900104</v>
      </c>
      <c r="Y108" s="832">
        <v>1149656447.8740273</v>
      </c>
      <c r="Z108" s="832">
        <v>1285179087.4027095</v>
      </c>
      <c r="AA108" s="832">
        <v>1547861047.5079448</v>
      </c>
      <c r="AB108" s="832">
        <v>1857837742.1590188</v>
      </c>
      <c r="AC108" s="832">
        <v>2699180938.1980639</v>
      </c>
      <c r="AD108" s="832">
        <v>2837528880.9571586</v>
      </c>
      <c r="AE108" s="832">
        <v>3588611731.8074703</v>
      </c>
      <c r="AF108" s="832">
        <v>3027018188.6171689</v>
      </c>
      <c r="AG108" s="832">
        <v>3636296935.9974642</v>
      </c>
    </row>
    <row r="109" spans="1:33">
      <c r="A109" s="22">
        <v>343</v>
      </c>
      <c r="B109" s="22" t="s">
        <v>57</v>
      </c>
      <c r="C109" s="825"/>
      <c r="D109" s="825"/>
      <c r="E109" s="825"/>
      <c r="F109" s="825"/>
      <c r="G109" s="825"/>
      <c r="H109" s="825"/>
      <c r="I109" s="825"/>
      <c r="J109" s="825"/>
      <c r="K109" s="825"/>
      <c r="L109" s="825"/>
      <c r="M109" s="825">
        <v>4471828621.9081278</v>
      </c>
      <c r="N109" s="825">
        <v>4694744806.586587</v>
      </c>
      <c r="O109" s="825">
        <v>2316618514.7524734</v>
      </c>
      <c r="P109" s="825">
        <v>2550194959.2394629</v>
      </c>
      <c r="Q109" s="825">
        <v>3381270266.7137332</v>
      </c>
      <c r="R109" s="825">
        <v>4449375525.5599012</v>
      </c>
      <c r="S109" s="825">
        <v>4422159848.9392881</v>
      </c>
      <c r="T109" s="825">
        <v>3735312200.7331977</v>
      </c>
      <c r="U109" s="825">
        <v>3571043201.5084152</v>
      </c>
      <c r="V109" s="825">
        <v>3673288165.8700366</v>
      </c>
      <c r="W109" s="825">
        <v>3586883988.9564552</v>
      </c>
      <c r="X109" s="825">
        <v>3436961384.8124127</v>
      </c>
      <c r="Y109" s="825">
        <v>3791306757.6623836</v>
      </c>
      <c r="Z109" s="825">
        <v>4629520342.4133568</v>
      </c>
      <c r="AA109" s="825">
        <v>5368441930.3589315</v>
      </c>
      <c r="AB109" s="825">
        <v>5814726241.3390322</v>
      </c>
      <c r="AC109" s="825">
        <v>6373113830.3446388</v>
      </c>
      <c r="AD109" s="825">
        <v>8159825620.3890009</v>
      </c>
      <c r="AE109" s="825">
        <v>9834028812.9801445</v>
      </c>
      <c r="AF109" s="825">
        <v>9276517779.8034496</v>
      </c>
      <c r="AG109" s="825">
        <v>9118253199.9569759</v>
      </c>
    </row>
    <row r="110" spans="1:33">
      <c r="A110" s="22">
        <v>781</v>
      </c>
      <c r="B110" s="22" t="s">
        <v>166</v>
      </c>
      <c r="C110" s="830">
        <v>1250199056.4183404</v>
      </c>
      <c r="D110" s="830">
        <v>1243509858.2947881</v>
      </c>
      <c r="E110" s="830">
        <v>1234474742.0442555</v>
      </c>
      <c r="F110" s="830">
        <v>1165730172.8741825</v>
      </c>
      <c r="G110" s="830">
        <v>1101807300.909271</v>
      </c>
      <c r="H110" s="830">
        <v>1117797224.8450949</v>
      </c>
      <c r="I110" s="830">
        <v>1435038037.4222736</v>
      </c>
      <c r="J110" s="830">
        <v>1751293215.6536338</v>
      </c>
      <c r="K110" s="830">
        <v>2019503791.2340691</v>
      </c>
      <c r="L110" s="830">
        <v>2118655299.6357172</v>
      </c>
      <c r="M110" s="830">
        <v>2547330284.0441804</v>
      </c>
      <c r="N110" s="830">
        <v>2750215016.0226436</v>
      </c>
      <c r="O110" s="830">
        <v>3021944632.3329549</v>
      </c>
      <c r="P110" s="830">
        <v>2709194765.6923909</v>
      </c>
      <c r="Q110" s="830">
        <v>2998504391.778266</v>
      </c>
      <c r="R110" s="830">
        <v>3574740685.3341002</v>
      </c>
      <c r="S110" s="830">
        <v>3671847264.6189566</v>
      </c>
      <c r="T110" s="830">
        <v>3633453447.3806486</v>
      </c>
      <c r="U110" s="830">
        <v>3809843648.7520409</v>
      </c>
      <c r="V110" s="830">
        <v>3907960070.7047234</v>
      </c>
      <c r="W110" s="830">
        <v>3893057246.271482</v>
      </c>
      <c r="X110" s="830">
        <v>3850924288.6252089</v>
      </c>
      <c r="Y110" s="830">
        <v>4233007168.2208638</v>
      </c>
      <c r="Z110" s="830">
        <v>4994073517.5862875</v>
      </c>
      <c r="AA110" s="830">
        <v>5607279373.6812391</v>
      </c>
      <c r="AB110" s="830">
        <v>5959813556.896883</v>
      </c>
      <c r="AC110" s="830">
        <v>6462031685.4040442</v>
      </c>
      <c r="AD110" s="830">
        <v>7547856388.8666115</v>
      </c>
      <c r="AE110" s="830">
        <v>8413230936.2517061</v>
      </c>
      <c r="AF110" s="830">
        <v>7987432157.0631504</v>
      </c>
      <c r="AG110" s="830"/>
    </row>
    <row r="111" spans="1:33">
      <c r="A111" s="22">
        <v>580</v>
      </c>
      <c r="B111" s="22" t="s">
        <v>124</v>
      </c>
      <c r="C111" s="826">
        <v>4042043932.4305773</v>
      </c>
      <c r="D111" s="826">
        <v>3594792625.0322008</v>
      </c>
      <c r="E111" s="826">
        <v>3526116842.4182816</v>
      </c>
      <c r="F111" s="826">
        <v>3511496135.4306784</v>
      </c>
      <c r="G111" s="826">
        <v>2939421709.5448546</v>
      </c>
      <c r="H111" s="826">
        <v>2857827399.3020458</v>
      </c>
      <c r="I111" s="826">
        <v>3258214584.5713916</v>
      </c>
      <c r="J111" s="826">
        <v>2565584503.0602026</v>
      </c>
      <c r="K111" s="826">
        <v>2442446702.5944166</v>
      </c>
      <c r="L111" s="826">
        <v>2497998766.9599538</v>
      </c>
      <c r="M111" s="826">
        <v>3081403411.6356111</v>
      </c>
      <c r="N111" s="826">
        <v>2653082107.0017767</v>
      </c>
      <c r="O111" s="826">
        <v>3024385657.3879623</v>
      </c>
      <c r="P111" s="826">
        <v>3370770572.247098</v>
      </c>
      <c r="Q111" s="826">
        <v>2977008504.1711807</v>
      </c>
      <c r="R111" s="826">
        <v>3159853282.9326162</v>
      </c>
      <c r="S111" s="826">
        <v>3994890762.5828023</v>
      </c>
      <c r="T111" s="826">
        <v>3545686958.2075648</v>
      </c>
      <c r="U111" s="826">
        <v>3738620505.5306854</v>
      </c>
      <c r="V111" s="826">
        <v>3717416630.3933811</v>
      </c>
      <c r="W111" s="826">
        <v>3877575177.2596846</v>
      </c>
      <c r="X111" s="826">
        <v>4529469041.236022</v>
      </c>
      <c r="Y111" s="826">
        <v>4397127092.2403221</v>
      </c>
      <c r="Z111" s="826">
        <v>5473940630.4093504</v>
      </c>
      <c r="AA111" s="826">
        <v>4363835956.1872416</v>
      </c>
      <c r="AB111" s="826">
        <v>5038577100.2514076</v>
      </c>
      <c r="AC111" s="826">
        <v>5515222624.3942032</v>
      </c>
      <c r="AD111" s="826">
        <v>7342683288.4001284</v>
      </c>
      <c r="AE111" s="826">
        <v>9394736595.6450481</v>
      </c>
      <c r="AF111" s="826">
        <v>8487968571.8813419</v>
      </c>
      <c r="AG111" s="826">
        <v>8720543553.6735344</v>
      </c>
    </row>
    <row r="112" spans="1:33">
      <c r="A112" s="22">
        <v>820</v>
      </c>
      <c r="B112" s="22" t="s">
        <v>172</v>
      </c>
      <c r="C112" s="828">
        <v>24937045114.15493</v>
      </c>
      <c r="D112" s="828">
        <v>25463038428.677475</v>
      </c>
      <c r="E112" s="828">
        <v>27287163523.110268</v>
      </c>
      <c r="F112" s="828">
        <v>30682563370.116474</v>
      </c>
      <c r="G112" s="828">
        <v>34565849168.838432</v>
      </c>
      <c r="H112" s="828">
        <v>31772244236.56237</v>
      </c>
      <c r="I112" s="828">
        <v>28243103019.741207</v>
      </c>
      <c r="J112" s="828">
        <v>32181695658.795361</v>
      </c>
      <c r="K112" s="828">
        <v>35271881995.824692</v>
      </c>
      <c r="L112" s="828">
        <v>38848565930.165077</v>
      </c>
      <c r="M112" s="828">
        <v>44024178269.51886</v>
      </c>
      <c r="N112" s="828">
        <v>49133852000.250137</v>
      </c>
      <c r="O112" s="828">
        <v>59151288902.954643</v>
      </c>
      <c r="P112" s="828">
        <v>66894450252.189995</v>
      </c>
      <c r="Q112" s="828">
        <v>74480816088.36734</v>
      </c>
      <c r="R112" s="828">
        <v>88832452511.743805</v>
      </c>
      <c r="S112" s="828">
        <v>100851784847.52417</v>
      </c>
      <c r="T112" s="828">
        <v>100168847815.18956</v>
      </c>
      <c r="U112" s="828">
        <v>72175310308.035172</v>
      </c>
      <c r="V112" s="828">
        <v>79148423191.076645</v>
      </c>
      <c r="W112" s="828">
        <v>93789738019.011475</v>
      </c>
      <c r="X112" s="828">
        <v>92783948532.706268</v>
      </c>
      <c r="Y112" s="828">
        <v>100845527581.23418</v>
      </c>
      <c r="Z112" s="828">
        <v>110202369803.91025</v>
      </c>
      <c r="AA112" s="828">
        <v>124749475249.61028</v>
      </c>
      <c r="AB112" s="828">
        <v>137848284960.42215</v>
      </c>
      <c r="AC112" s="828">
        <v>156523433242.50681</v>
      </c>
      <c r="AD112" s="828">
        <v>186642151162.79071</v>
      </c>
      <c r="AE112" s="828">
        <v>221828443113.77246</v>
      </c>
      <c r="AF112" s="828">
        <v>193092897727.27274</v>
      </c>
      <c r="AG112" s="828">
        <v>237803850458.67761</v>
      </c>
    </row>
    <row r="113" spans="1:33">
      <c r="A113" s="22">
        <v>590</v>
      </c>
      <c r="B113" s="22" t="s">
        <v>126</v>
      </c>
      <c r="C113" s="833">
        <v>1136544231.3645103</v>
      </c>
      <c r="D113" s="833">
        <v>1147187567.6520779</v>
      </c>
      <c r="E113" s="833">
        <v>1082934402.1935658</v>
      </c>
      <c r="F113" s="833">
        <v>1094857359.6951361</v>
      </c>
      <c r="G113" s="833">
        <v>1044926097.4665112</v>
      </c>
      <c r="H113" s="833">
        <v>1080643202.283087</v>
      </c>
      <c r="I113" s="833">
        <v>1469050658.086391</v>
      </c>
      <c r="J113" s="833">
        <v>1888752207.1070042</v>
      </c>
      <c r="K113" s="833">
        <v>2143480497.1850252</v>
      </c>
      <c r="L113" s="833">
        <v>2191101651.2330461</v>
      </c>
      <c r="M113" s="833">
        <v>2653485952.1331887</v>
      </c>
      <c r="N113" s="833">
        <v>2856889162.0905809</v>
      </c>
      <c r="O113" s="833">
        <v>3224265824.1873198</v>
      </c>
      <c r="P113" s="833">
        <v>3263363787.8261828</v>
      </c>
      <c r="Q113" s="833">
        <v>3558143642.1425548</v>
      </c>
      <c r="R113" s="833">
        <v>4040342059.5674114</v>
      </c>
      <c r="S113" s="833">
        <v>4421952121.4866982</v>
      </c>
      <c r="T113" s="833">
        <v>4187375887.6594768</v>
      </c>
      <c r="U113" s="833">
        <v>4169672974.231266</v>
      </c>
      <c r="V113" s="833">
        <v>4291171395.7108479</v>
      </c>
      <c r="W113" s="833">
        <v>4582562397.9431467</v>
      </c>
      <c r="X113" s="833">
        <v>4536544699.0572844</v>
      </c>
      <c r="Y113" s="833">
        <v>4767303153.0443907</v>
      </c>
      <c r="Z113" s="833">
        <v>5609931858.1071882</v>
      </c>
      <c r="AA113" s="833">
        <v>6385579077.7815008</v>
      </c>
      <c r="AB113" s="833">
        <v>6283845864.3198462</v>
      </c>
      <c r="AC113" s="833">
        <v>6507112279.8546677</v>
      </c>
      <c r="AD113" s="833">
        <v>7791974522.1315756</v>
      </c>
      <c r="AE113" s="833">
        <v>9641036888.4475117</v>
      </c>
      <c r="AF113" s="833">
        <v>8865125544.5918121</v>
      </c>
      <c r="AG113" s="833">
        <v>9728729228.5293903</v>
      </c>
    </row>
    <row r="114" spans="1:33">
      <c r="A114" s="22">
        <v>553</v>
      </c>
      <c r="B114" s="22" t="s">
        <v>118</v>
      </c>
      <c r="C114" s="827">
        <v>1237655510.873383</v>
      </c>
      <c r="D114" s="827">
        <v>1237685696.1516552</v>
      </c>
      <c r="E114" s="827">
        <v>1180092986.2913451</v>
      </c>
      <c r="F114" s="827">
        <v>1223228536.5109224</v>
      </c>
      <c r="G114" s="827">
        <v>1208026081.8774695</v>
      </c>
      <c r="H114" s="827">
        <v>1131347780.6563323</v>
      </c>
      <c r="I114" s="827">
        <v>1183673867.3647399</v>
      </c>
      <c r="J114" s="827">
        <v>1183072718.7373114</v>
      </c>
      <c r="K114" s="827">
        <v>1379924236.0445368</v>
      </c>
      <c r="L114" s="827">
        <v>1590204039.2336338</v>
      </c>
      <c r="M114" s="827">
        <v>1880785391.1894295</v>
      </c>
      <c r="N114" s="827">
        <v>2203538071.0310946</v>
      </c>
      <c r="O114" s="827">
        <v>1799527046.0893874</v>
      </c>
      <c r="P114" s="827">
        <v>2070646319.8352637</v>
      </c>
      <c r="Q114" s="827">
        <v>1181801219.651598</v>
      </c>
      <c r="R114" s="827">
        <v>1397457933.8070316</v>
      </c>
      <c r="S114" s="827">
        <v>2281034088.6886005</v>
      </c>
      <c r="T114" s="827">
        <v>2663348222.1095352</v>
      </c>
      <c r="U114" s="827">
        <v>1750585419.5031755</v>
      </c>
      <c r="V114" s="827">
        <v>1775921700.0144038</v>
      </c>
      <c r="W114" s="827">
        <v>1743506520.28913</v>
      </c>
      <c r="X114" s="827">
        <v>1716502772.1174948</v>
      </c>
      <c r="Y114" s="827">
        <v>2665159241.8459163</v>
      </c>
      <c r="Z114" s="827">
        <v>2424655975.577795</v>
      </c>
      <c r="AA114" s="827">
        <v>2625187646.9312797</v>
      </c>
      <c r="AB114" s="827">
        <v>2755429810.9138994</v>
      </c>
      <c r="AC114" s="827">
        <v>3116942711.1570349</v>
      </c>
      <c r="AD114" s="827">
        <v>3458333168.7010412</v>
      </c>
      <c r="AE114" s="827">
        <v>4074143554.3015265</v>
      </c>
      <c r="AF114" s="827">
        <v>4727486010.9314508</v>
      </c>
      <c r="AG114" s="827">
        <v>5106263006.6627569</v>
      </c>
    </row>
    <row r="115" spans="1:33">
      <c r="A115" s="22">
        <v>70</v>
      </c>
      <c r="B115" s="22" t="s">
        <v>15</v>
      </c>
      <c r="C115" s="834">
        <v>194356825709.19867</v>
      </c>
      <c r="D115" s="834">
        <v>250083027275.12958</v>
      </c>
      <c r="E115" s="834">
        <v>173720847690.77283</v>
      </c>
      <c r="F115" s="834">
        <v>148866911934.17511</v>
      </c>
      <c r="G115" s="834">
        <v>175632163244.41626</v>
      </c>
      <c r="H115" s="834">
        <v>184473097296.04077</v>
      </c>
      <c r="I115" s="834">
        <v>129440191340.19701</v>
      </c>
      <c r="J115" s="834">
        <v>140263673924.0307</v>
      </c>
      <c r="K115" s="834">
        <v>183144276294.08984</v>
      </c>
      <c r="L115" s="834">
        <v>222977042346.50153</v>
      </c>
      <c r="M115" s="834">
        <v>262709785592.71109</v>
      </c>
      <c r="N115" s="834">
        <v>314453895611.75214</v>
      </c>
      <c r="O115" s="834">
        <v>363609268789.41638</v>
      </c>
      <c r="P115" s="834">
        <v>403195508733.86603</v>
      </c>
      <c r="Q115" s="834">
        <v>421725049057.94427</v>
      </c>
      <c r="R115" s="834">
        <v>286698251724.02063</v>
      </c>
      <c r="S115" s="834">
        <v>332908981435.71918</v>
      </c>
      <c r="T115" s="834">
        <v>401480129436.30127</v>
      </c>
      <c r="U115" s="834">
        <v>421214803220.42297</v>
      </c>
      <c r="V115" s="834">
        <v>481202434426.85052</v>
      </c>
      <c r="W115" s="834">
        <v>581426421971.45312</v>
      </c>
      <c r="X115" s="834">
        <v>622092637151.15723</v>
      </c>
      <c r="Y115" s="834">
        <v>649075575301.6814</v>
      </c>
      <c r="Z115" s="834">
        <v>700324664926.97156</v>
      </c>
      <c r="AA115" s="834">
        <v>759777472170.45361</v>
      </c>
      <c r="AB115" s="834">
        <v>848947464608.98022</v>
      </c>
      <c r="AC115" s="834">
        <v>952276430546.77332</v>
      </c>
      <c r="AD115" s="834">
        <v>1035929522496.4788</v>
      </c>
      <c r="AE115" s="834">
        <v>1096176334977.0808</v>
      </c>
      <c r="AF115" s="834">
        <v>882786797992.37415</v>
      </c>
      <c r="AG115" s="834">
        <v>1039661515602.5669</v>
      </c>
    </row>
    <row r="116" spans="1:33">
      <c r="A116" s="22">
        <v>359</v>
      </c>
      <c r="B116" s="22" t="s">
        <v>65</v>
      </c>
      <c r="C116" s="836"/>
      <c r="D116" s="836"/>
      <c r="E116" s="836"/>
      <c r="F116" s="836"/>
      <c r="G116" s="836"/>
      <c r="H116" s="836"/>
      <c r="I116" s="836"/>
      <c r="J116" s="836"/>
      <c r="K116" s="836"/>
      <c r="L116" s="836"/>
      <c r="M116" s="836">
        <v>3592856080.0291495</v>
      </c>
      <c r="N116" s="836">
        <v>3094567110.1128554</v>
      </c>
      <c r="O116" s="836">
        <v>2319243406.6660228</v>
      </c>
      <c r="P116" s="836">
        <v>2371812923.8837872</v>
      </c>
      <c r="Q116" s="836">
        <v>1702314352.7443893</v>
      </c>
      <c r="R116" s="836">
        <v>1752995313.7668908</v>
      </c>
      <c r="S116" s="836">
        <v>1695130483.8391821</v>
      </c>
      <c r="T116" s="836">
        <v>1930071445.2119374</v>
      </c>
      <c r="U116" s="836">
        <v>1639497206.7039106</v>
      </c>
      <c r="V116" s="836">
        <v>1170785047.7946067</v>
      </c>
      <c r="W116" s="836">
        <v>1288420222.9478662</v>
      </c>
      <c r="X116" s="836">
        <v>1480656884.3846178</v>
      </c>
      <c r="Y116" s="836">
        <v>1661818168.4226036</v>
      </c>
      <c r="Z116" s="836">
        <v>1980901553.5122573</v>
      </c>
      <c r="AA116" s="836">
        <v>2598231467.4367104</v>
      </c>
      <c r="AB116" s="836">
        <v>2988172424.466084</v>
      </c>
      <c r="AC116" s="836">
        <v>3408454197.8919148</v>
      </c>
      <c r="AD116" s="836">
        <v>4402495921.2933207</v>
      </c>
      <c r="AE116" s="836">
        <v>6054806100.8468056</v>
      </c>
      <c r="AF116" s="836">
        <v>5439439763.8078775</v>
      </c>
      <c r="AG116" s="836">
        <v>5808796184.0084085</v>
      </c>
    </row>
    <row r="117" spans="1:33">
      <c r="A117" s="22">
        <v>432</v>
      </c>
      <c r="B117" s="22" t="s">
        <v>86</v>
      </c>
      <c r="C117" s="829">
        <v>1787342744.9943213</v>
      </c>
      <c r="D117" s="829">
        <v>1493659030.0304413</v>
      </c>
      <c r="E117" s="829">
        <v>1327383915.3297265</v>
      </c>
      <c r="F117" s="829">
        <v>1294461580.9473276</v>
      </c>
      <c r="G117" s="829">
        <v>1311347870.8435214</v>
      </c>
      <c r="H117" s="829">
        <v>1313690786.6932945</v>
      </c>
      <c r="I117" s="829">
        <v>1678332703.0348272</v>
      </c>
      <c r="J117" s="829">
        <v>1931555358.2725241</v>
      </c>
      <c r="K117" s="829">
        <v>1947802224.831321</v>
      </c>
      <c r="L117" s="829">
        <v>2007792923.6118314</v>
      </c>
      <c r="M117" s="829">
        <v>2421179436.3545818</v>
      </c>
      <c r="N117" s="829">
        <v>2422848180.8940582</v>
      </c>
      <c r="O117" s="829">
        <v>2846471287.8022652</v>
      </c>
      <c r="P117" s="829">
        <v>2677991265.831696</v>
      </c>
      <c r="Q117" s="829">
        <v>1762717928.7363961</v>
      </c>
      <c r="R117" s="829">
        <v>2466152468.3085246</v>
      </c>
      <c r="S117" s="829">
        <v>2619098932.8656487</v>
      </c>
      <c r="T117" s="829">
        <v>2475182970.2066069</v>
      </c>
      <c r="U117" s="829">
        <v>2596836146.9475379</v>
      </c>
      <c r="V117" s="829">
        <v>2570426031.0572839</v>
      </c>
      <c r="W117" s="829">
        <v>2422469641.4731541</v>
      </c>
      <c r="X117" s="829">
        <v>2629733711.6664848</v>
      </c>
      <c r="Y117" s="829">
        <v>3342815644.1912842</v>
      </c>
      <c r="Z117" s="829">
        <v>4362442242.5587845</v>
      </c>
      <c r="AA117" s="829">
        <v>4874185884.1922626</v>
      </c>
      <c r="AB117" s="829">
        <v>5305318991.4216976</v>
      </c>
      <c r="AC117" s="829">
        <v>5866095675.4904575</v>
      </c>
      <c r="AD117" s="829">
        <v>7146284975.066247</v>
      </c>
      <c r="AE117" s="829">
        <v>8738080882.5171394</v>
      </c>
      <c r="AF117" s="829">
        <v>8964687644.275774</v>
      </c>
      <c r="AG117" s="829">
        <v>9251388616.8750019</v>
      </c>
    </row>
    <row r="118" spans="1:33">
      <c r="A118" s="22">
        <v>338</v>
      </c>
      <c r="B118" s="22" t="s">
        <v>55</v>
      </c>
    </row>
    <row r="119" spans="1:33">
      <c r="A119" s="22">
        <v>221</v>
      </c>
      <c r="B119" s="22" t="s">
        <v>41</v>
      </c>
      <c r="C119" s="837">
        <v>1378130995.659126</v>
      </c>
      <c r="D119" s="837">
        <v>1205166025.5159183</v>
      </c>
      <c r="E119" s="837">
        <v>1143229071.7794309</v>
      </c>
      <c r="F119" s="837">
        <v>1092551781.0148635</v>
      </c>
      <c r="G119" s="837">
        <v>1037314956.2508339</v>
      </c>
      <c r="H119" s="837">
        <v>1082851076.5215755</v>
      </c>
      <c r="I119" s="837">
        <v>1515209588.2377975</v>
      </c>
      <c r="J119" s="837">
        <v>1839095595.2565525</v>
      </c>
      <c r="K119" s="837">
        <v>2000674667.0826108</v>
      </c>
      <c r="L119" s="837">
        <v>2010116851.2028396</v>
      </c>
      <c r="M119" s="837">
        <v>2481316053.8531604</v>
      </c>
      <c r="N119" s="837">
        <v>2480497547.8488088</v>
      </c>
      <c r="O119" s="837">
        <v>2737066955.9126616</v>
      </c>
      <c r="P119" s="837">
        <v>2574439973.1738749</v>
      </c>
      <c r="Q119" s="837">
        <v>2720297738.9390364</v>
      </c>
      <c r="R119" s="837">
        <v>3130270918.7906127</v>
      </c>
      <c r="S119" s="837">
        <v>3137848783.0840411</v>
      </c>
      <c r="T119" s="837">
        <v>2840182191.7710547</v>
      </c>
      <c r="U119" s="837">
        <v>2934578788.8647819</v>
      </c>
      <c r="V119" s="837">
        <v>2906009307.6650968</v>
      </c>
      <c r="W119" s="837">
        <v>2647883820.1862526</v>
      </c>
      <c r="X119" s="837">
        <v>2671401082.76436</v>
      </c>
      <c r="Y119" s="837">
        <v>2905973022.1745992</v>
      </c>
      <c r="Z119" s="837">
        <v>3588988600.7029438</v>
      </c>
      <c r="AA119" s="837">
        <v>4110348444.4941115</v>
      </c>
      <c r="AB119" s="837">
        <v>4280072625.9762225</v>
      </c>
      <c r="AC119" s="837">
        <v>4663488363.0976982</v>
      </c>
      <c r="AD119" s="837">
        <v>5974371695.9504538</v>
      </c>
      <c r="AE119" s="837">
        <v>6581080163.1135511</v>
      </c>
      <c r="AF119" s="837">
        <v>6108770905.8115492</v>
      </c>
      <c r="AG119" s="837"/>
    </row>
    <row r="120" spans="1:33">
      <c r="A120" s="22">
        <v>341</v>
      </c>
      <c r="B120" s="22" t="s">
        <v>193</v>
      </c>
      <c r="C120" s="839"/>
      <c r="D120" s="839"/>
      <c r="E120" s="839"/>
      <c r="F120" s="839"/>
      <c r="G120" s="839"/>
      <c r="H120" s="839"/>
      <c r="I120" s="839"/>
      <c r="J120" s="839"/>
      <c r="K120" s="839"/>
      <c r="L120" s="839"/>
      <c r="M120" s="839"/>
      <c r="N120" s="839"/>
      <c r="O120" s="839"/>
      <c r="P120" s="839"/>
      <c r="Q120" s="839"/>
      <c r="R120" s="839"/>
      <c r="S120" s="839"/>
      <c r="T120" s="839"/>
      <c r="U120" s="839"/>
      <c r="V120" s="839"/>
      <c r="W120" s="839">
        <v>984279596.39999986</v>
      </c>
      <c r="X120" s="839">
        <v>1159891559.9999995</v>
      </c>
      <c r="Y120" s="839">
        <v>1284504508.5833318</v>
      </c>
      <c r="Z120" s="839">
        <v>1707662607.7499995</v>
      </c>
      <c r="AA120" s="839">
        <v>2073255525.2048671</v>
      </c>
      <c r="AB120" s="839">
        <v>2257181942.5444593</v>
      </c>
      <c r="AC120" s="839">
        <v>2695897628.9047799</v>
      </c>
      <c r="AD120" s="839">
        <v>3668857103.7503419</v>
      </c>
      <c r="AE120" s="839">
        <v>4519731946.682291</v>
      </c>
      <c r="AF120" s="839">
        <v>4141382328.4245625</v>
      </c>
      <c r="AG120" s="839">
        <v>4003707165.4450321</v>
      </c>
    </row>
    <row r="121" spans="1:33">
      <c r="A121" s="22">
        <v>712</v>
      </c>
      <c r="B121" s="22" t="s">
        <v>155</v>
      </c>
      <c r="C121" s="838"/>
      <c r="D121" s="838">
        <v>2310099114.6666665</v>
      </c>
      <c r="E121" s="838">
        <v>2552401920</v>
      </c>
      <c r="F121" s="838">
        <v>2725736618.6666665</v>
      </c>
      <c r="G121" s="838">
        <v>2098734592</v>
      </c>
      <c r="H121" s="838">
        <v>2186505472</v>
      </c>
      <c r="I121" s="838">
        <v>2896178858.6666665</v>
      </c>
      <c r="J121" s="838">
        <v>3020611584</v>
      </c>
      <c r="K121" s="838">
        <v>3204461568</v>
      </c>
      <c r="L121" s="838">
        <v>3576966794.6666665</v>
      </c>
      <c r="M121" s="838">
        <v>2560785662.9153266</v>
      </c>
      <c r="N121" s="838">
        <v>2379018323.2262564</v>
      </c>
      <c r="O121" s="838">
        <v>1317611862.7755618</v>
      </c>
      <c r="P121" s="838">
        <v>768401665.82030666</v>
      </c>
      <c r="Q121" s="838">
        <v>925817089.52782857</v>
      </c>
      <c r="R121" s="838">
        <v>1452165052.5471356</v>
      </c>
      <c r="S121" s="838">
        <v>1345719435.1495771</v>
      </c>
      <c r="T121" s="838">
        <v>1180934217.4011869</v>
      </c>
      <c r="U121" s="838">
        <v>1124440238.1255121</v>
      </c>
      <c r="V121" s="838">
        <v>1057408608.4357866</v>
      </c>
      <c r="W121" s="838">
        <v>1136896162.1421821</v>
      </c>
      <c r="X121" s="838">
        <v>1267997923.0327013</v>
      </c>
      <c r="Y121" s="838">
        <v>1396555772.0379393</v>
      </c>
      <c r="Z121" s="838">
        <v>1595297301.456512</v>
      </c>
      <c r="AA121" s="838">
        <v>1992066758.8442407</v>
      </c>
      <c r="AB121" s="838">
        <v>2523359940.7120848</v>
      </c>
      <c r="AC121" s="838">
        <v>3395917892.1925712</v>
      </c>
      <c r="AD121" s="838">
        <v>4234894168.1565938</v>
      </c>
      <c r="AE121" s="838">
        <v>5623236707.5247154</v>
      </c>
      <c r="AF121" s="838">
        <v>4583834427.3647394</v>
      </c>
      <c r="AG121" s="838">
        <v>6083047865.2389708</v>
      </c>
    </row>
    <row r="122" spans="1:33">
      <c r="A122" s="22">
        <v>600</v>
      </c>
      <c r="B122" s="22" t="s">
        <v>128</v>
      </c>
      <c r="C122" s="840">
        <v>18820809835.898998</v>
      </c>
      <c r="D122" s="840">
        <v>15280300833.285</v>
      </c>
      <c r="E122" s="840">
        <v>15423825336.211191</v>
      </c>
      <c r="F122" s="840">
        <v>13941571864.497347</v>
      </c>
      <c r="G122" s="840">
        <v>12751251347.82362</v>
      </c>
      <c r="H122" s="840">
        <v>12869611447.878368</v>
      </c>
      <c r="I122" s="840">
        <v>16994563068.406485</v>
      </c>
      <c r="J122" s="840">
        <v>18745983476.927273</v>
      </c>
      <c r="K122" s="840">
        <v>22198388383.693806</v>
      </c>
      <c r="L122" s="840">
        <v>22847197923.698509</v>
      </c>
      <c r="M122" s="840">
        <v>25820725667.710865</v>
      </c>
      <c r="N122" s="840">
        <v>27836559831.391304</v>
      </c>
      <c r="O122" s="840">
        <v>28450632466.619816</v>
      </c>
      <c r="P122" s="840">
        <v>26801064630.605446</v>
      </c>
      <c r="Q122" s="840">
        <v>30351265891.557102</v>
      </c>
      <c r="R122" s="840">
        <v>32986182669.78923</v>
      </c>
      <c r="S122" s="840">
        <v>36638763638.866898</v>
      </c>
      <c r="T122" s="840">
        <v>33414747559.567547</v>
      </c>
      <c r="U122" s="840">
        <v>40021694630.899139</v>
      </c>
      <c r="V122" s="840">
        <v>39734023742.792061</v>
      </c>
      <c r="W122" s="840">
        <v>37020609824.957649</v>
      </c>
      <c r="X122" s="840">
        <v>37724674865.080063</v>
      </c>
      <c r="Y122" s="840">
        <v>40416114690.137009</v>
      </c>
      <c r="Z122" s="840">
        <v>49822651701.728989</v>
      </c>
      <c r="AA122" s="840">
        <v>56948015336.039688</v>
      </c>
      <c r="AB122" s="840">
        <v>59523857868.020302</v>
      </c>
      <c r="AC122" s="840">
        <v>65637107776.26194</v>
      </c>
      <c r="AD122" s="840">
        <v>75226318359.375</v>
      </c>
      <c r="AE122" s="840">
        <v>88882967741.935486</v>
      </c>
      <c r="AF122" s="840">
        <v>91374705225.269943</v>
      </c>
      <c r="AG122" s="840">
        <v>91196031840.323151</v>
      </c>
    </row>
    <row r="123" spans="1:33">
      <c r="A123" s="22">
        <v>983</v>
      </c>
      <c r="B123" s="22" t="s">
        <v>187</v>
      </c>
      <c r="C123" s="831"/>
      <c r="D123" s="831">
        <v>27152000</v>
      </c>
      <c r="E123" s="831">
        <v>30564000</v>
      </c>
      <c r="F123" s="831">
        <v>36543000</v>
      </c>
      <c r="G123" s="831">
        <v>39513000</v>
      </c>
      <c r="H123" s="831">
        <v>38406000</v>
      </c>
      <c r="I123" s="831">
        <v>49007000</v>
      </c>
      <c r="J123" s="831">
        <v>55130000</v>
      </c>
      <c r="K123" s="831">
        <v>61874000</v>
      </c>
      <c r="L123" s="831">
        <v>63721000</v>
      </c>
      <c r="M123" s="831">
        <v>68691000</v>
      </c>
      <c r="N123" s="831">
        <v>72218800</v>
      </c>
      <c r="O123" s="831">
        <v>79709200</v>
      </c>
      <c r="P123" s="831">
        <v>87059000</v>
      </c>
      <c r="Q123" s="831">
        <v>94595000</v>
      </c>
      <c r="R123" s="831">
        <v>105239000</v>
      </c>
      <c r="S123" s="831">
        <v>97037000</v>
      </c>
      <c r="T123" s="831">
        <v>92184200</v>
      </c>
      <c r="U123" s="831">
        <v>95657000</v>
      </c>
      <c r="V123" s="831">
        <v>95360000</v>
      </c>
      <c r="W123" s="831">
        <v>107573000</v>
      </c>
      <c r="X123" s="831">
        <v>110480000</v>
      </c>
      <c r="Y123" s="831">
        <v>119286000</v>
      </c>
      <c r="Z123" s="831">
        <v>123788000</v>
      </c>
      <c r="AA123" s="831">
        <v>133300000</v>
      </c>
      <c r="AB123" s="831">
        <v>138600000</v>
      </c>
      <c r="AC123" s="831">
        <v>144600000</v>
      </c>
      <c r="AD123" s="831">
        <v>151000000</v>
      </c>
      <c r="AE123" s="831">
        <v>152000000</v>
      </c>
      <c r="AF123" s="831">
        <v>152800000</v>
      </c>
      <c r="AG123" s="831">
        <v>155800000</v>
      </c>
    </row>
    <row r="124" spans="1:33">
      <c r="A124" s="22">
        <v>775</v>
      </c>
      <c r="B124" s="22" t="s">
        <v>164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</row>
    <row r="125" spans="1:33">
      <c r="A125" s="22">
        <v>541</v>
      </c>
      <c r="B125" s="22" t="s">
        <v>115</v>
      </c>
      <c r="C125" s="841">
        <v>3526287699.6083951</v>
      </c>
      <c r="D125" s="841">
        <v>3532095547.7666221</v>
      </c>
      <c r="E125" s="841">
        <v>3615042148.8261828</v>
      </c>
      <c r="F125" s="841">
        <v>3237799680.7513452</v>
      </c>
      <c r="G125" s="841">
        <v>3372752281.1268306</v>
      </c>
      <c r="H125" s="841">
        <v>4458200973.9567833</v>
      </c>
      <c r="I125" s="841">
        <v>5243429413.1324167</v>
      </c>
      <c r="J125" s="841">
        <v>2353866232.0715485</v>
      </c>
      <c r="K125" s="841">
        <v>2093392107.2142792</v>
      </c>
      <c r="L125" s="841">
        <v>2314103817.3249359</v>
      </c>
      <c r="M125" s="841">
        <v>2463238802.8501563</v>
      </c>
      <c r="N125" s="841">
        <v>2695475825.1332946</v>
      </c>
      <c r="O125" s="841">
        <v>1968901449.8240635</v>
      </c>
      <c r="P125" s="841">
        <v>2027650517.8222733</v>
      </c>
      <c r="Q125" s="841">
        <v>2162771442.3877492</v>
      </c>
      <c r="R125" s="841">
        <v>2246791389.0015707</v>
      </c>
      <c r="S125" s="841">
        <v>3178648857.4822955</v>
      </c>
      <c r="T125" s="841">
        <v>3751832732.0462985</v>
      </c>
      <c r="U125" s="841">
        <v>4240336762.5480361</v>
      </c>
      <c r="V125" s="841">
        <v>4448023241.5789919</v>
      </c>
      <c r="W125" s="841">
        <v>4248747769.4626884</v>
      </c>
      <c r="X125" s="841">
        <v>4075057668.8024979</v>
      </c>
      <c r="Y125" s="841">
        <v>4201325196.3848295</v>
      </c>
      <c r="Z125" s="841">
        <v>4666190665.5175714</v>
      </c>
      <c r="AA125" s="841">
        <v>5697991419.0841494</v>
      </c>
      <c r="AB125" s="841">
        <v>6578515375.5661583</v>
      </c>
      <c r="AC125" s="841">
        <v>7096128500.8612194</v>
      </c>
      <c r="AD125" s="841">
        <v>8030015309.9263821</v>
      </c>
      <c r="AE125" s="841">
        <v>9891264915.123457</v>
      </c>
      <c r="AF125" s="841">
        <v>9787997621.7271252</v>
      </c>
      <c r="AG125" s="841">
        <v>9586185528.3828907</v>
      </c>
    </row>
    <row r="126" spans="1:33">
      <c r="A126" s="22">
        <v>565</v>
      </c>
      <c r="B126" s="22" t="s">
        <v>120</v>
      </c>
      <c r="C126" s="842">
        <v>2168626433.8742275</v>
      </c>
      <c r="D126" s="842">
        <v>1950821521.481257</v>
      </c>
      <c r="E126" s="842">
        <v>1803245473.4670572</v>
      </c>
      <c r="F126" s="842">
        <v>1928911228.7945426</v>
      </c>
      <c r="G126" s="842">
        <v>1625454151.076406</v>
      </c>
      <c r="H126" s="842">
        <v>1355068269.4162886</v>
      </c>
      <c r="I126" s="842">
        <v>1527332245.0908742</v>
      </c>
      <c r="J126" s="842">
        <v>1934647328.3792481</v>
      </c>
      <c r="K126" s="842">
        <v>2128464417.8282537</v>
      </c>
      <c r="L126" s="842">
        <v>2169536504.6441045</v>
      </c>
      <c r="M126" s="842">
        <v>2350307518.8583093</v>
      </c>
      <c r="N126" s="842">
        <v>2492290810.7188058</v>
      </c>
      <c r="O126" s="842">
        <v>2837643854.4831829</v>
      </c>
      <c r="P126" s="842">
        <v>2846613961.5673451</v>
      </c>
      <c r="Q126" s="842">
        <v>3251945055.7311344</v>
      </c>
      <c r="R126" s="842">
        <v>3503088568.3682628</v>
      </c>
      <c r="S126" s="842">
        <v>3491458823.1846261</v>
      </c>
      <c r="T126" s="842">
        <v>3635229630.7999072</v>
      </c>
      <c r="U126" s="842">
        <v>3398703829.253345</v>
      </c>
      <c r="V126" s="842">
        <v>3385824193.812408</v>
      </c>
      <c r="W126" s="842">
        <v>3908501440.9221902</v>
      </c>
      <c r="X126" s="842">
        <v>3546869555.1167383</v>
      </c>
      <c r="Y126" s="842"/>
      <c r="Z126" s="842">
        <v>4934391534.3915348</v>
      </c>
      <c r="AA126" s="842">
        <v>6605804204.8239393</v>
      </c>
      <c r="AB126" s="842">
        <v>7261676364.208209</v>
      </c>
      <c r="AC126" s="842">
        <v>7980502215.6573124</v>
      </c>
      <c r="AD126" s="842">
        <v>8805815602.8368797</v>
      </c>
      <c r="AE126" s="842">
        <v>8967523024.7212791</v>
      </c>
      <c r="AF126" s="842">
        <v>9182440405.9476051</v>
      </c>
      <c r="AG126" s="842">
        <v>12170331921.868597</v>
      </c>
    </row>
    <row r="127" spans="1:33">
      <c r="A127" s="22">
        <v>790</v>
      </c>
      <c r="B127" s="22" t="s">
        <v>167</v>
      </c>
      <c r="C127" s="843">
        <v>1945916586.6666667</v>
      </c>
      <c r="D127" s="843">
        <v>2275583317.3333335</v>
      </c>
      <c r="E127" s="843">
        <v>2395425212.0717459</v>
      </c>
      <c r="F127" s="843">
        <v>2447174838.5656281</v>
      </c>
      <c r="G127" s="843">
        <v>2581215829.8640404</v>
      </c>
      <c r="H127" s="843">
        <v>2619913975.7495542</v>
      </c>
      <c r="I127" s="843">
        <v>2850780936.9394836</v>
      </c>
      <c r="J127" s="843">
        <v>2957252078.5605297</v>
      </c>
      <c r="K127" s="843">
        <v>3487009700.1065235</v>
      </c>
      <c r="L127" s="843">
        <v>3525228045.6894789</v>
      </c>
      <c r="M127" s="843">
        <v>3627559252.2057695</v>
      </c>
      <c r="N127" s="843">
        <v>3921476084.8907189</v>
      </c>
      <c r="O127" s="843">
        <v>3401211581.2917595</v>
      </c>
      <c r="P127" s="843">
        <v>3660041666.6666665</v>
      </c>
      <c r="Q127" s="843">
        <v>4066775510.2040815</v>
      </c>
      <c r="R127" s="843">
        <v>4401104417.6706829</v>
      </c>
      <c r="S127" s="843">
        <v>4521580381.4713898</v>
      </c>
      <c r="T127" s="843">
        <v>4918691916.5351572</v>
      </c>
      <c r="U127" s="843">
        <v>4856255044.3906374</v>
      </c>
      <c r="V127" s="843">
        <v>5033642384.1059599</v>
      </c>
      <c r="W127" s="843">
        <v>5494252207.9050245</v>
      </c>
      <c r="X127" s="843">
        <v>5595578231.2925167</v>
      </c>
      <c r="Y127" s="843">
        <v>6050875806.664032</v>
      </c>
      <c r="Z127" s="843">
        <v>6330476434.5493689</v>
      </c>
      <c r="AA127" s="843">
        <v>7273933992.7454815</v>
      </c>
      <c r="AB127" s="843">
        <v>8130258976.0298538</v>
      </c>
      <c r="AC127" s="843">
        <v>9074827536.2521534</v>
      </c>
      <c r="AD127" s="843">
        <v>10277619341.861841</v>
      </c>
      <c r="AE127" s="843">
        <v>12572606352.881674</v>
      </c>
      <c r="AF127" s="843">
        <v>12896793334.75173</v>
      </c>
      <c r="AG127" s="843">
        <v>15701058165.61404</v>
      </c>
    </row>
    <row r="128" spans="1:33">
      <c r="A128" s="22">
        <v>920</v>
      </c>
      <c r="B128" s="22" t="s">
        <v>179</v>
      </c>
      <c r="C128" s="845">
        <v>22870183207.874928</v>
      </c>
      <c r="D128" s="845">
        <v>23980076488.219131</v>
      </c>
      <c r="E128" s="845">
        <v>23685986052.439911</v>
      </c>
      <c r="F128" s="845">
        <v>23833591081.756046</v>
      </c>
      <c r="G128" s="845">
        <v>21251303323.654465</v>
      </c>
      <c r="H128" s="845">
        <v>24195751652.173912</v>
      </c>
      <c r="I128" s="845">
        <v>29979793942.754543</v>
      </c>
      <c r="J128" s="845">
        <v>39502748641.287529</v>
      </c>
      <c r="K128" s="845">
        <v>44217132450.885666</v>
      </c>
      <c r="L128" s="845">
        <v>42996230709.593422</v>
      </c>
      <c r="M128" s="845">
        <v>44503568893.802666</v>
      </c>
      <c r="N128" s="845">
        <v>41820222974.341667</v>
      </c>
      <c r="O128" s="845">
        <v>40744409331.135689</v>
      </c>
      <c r="P128" s="845">
        <v>45827934439.466843</v>
      </c>
      <c r="Q128" s="845">
        <v>54263384779.290558</v>
      </c>
      <c r="R128" s="845">
        <v>62795370403.825714</v>
      </c>
      <c r="S128" s="845">
        <v>68870620813.098373</v>
      </c>
      <c r="T128" s="845">
        <v>64924816049.927505</v>
      </c>
      <c r="U128" s="845">
        <v>55199814253.38176</v>
      </c>
      <c r="V128" s="845">
        <v>57698043178.161812</v>
      </c>
      <c r="W128" s="845">
        <v>51599748517.981827</v>
      </c>
      <c r="X128" s="845">
        <v>52872980328.143311</v>
      </c>
      <c r="Y128" s="845">
        <v>65463945931.292824</v>
      </c>
      <c r="Z128" s="845">
        <v>86737675644.314163</v>
      </c>
      <c r="AA128" s="845">
        <v>102210381042.0168</v>
      </c>
      <c r="AB128" s="845">
        <v>110977590642.06233</v>
      </c>
      <c r="AC128" s="845">
        <v>110562659390.36382</v>
      </c>
      <c r="AD128" s="845">
        <v>138317139637.2467</v>
      </c>
      <c r="AE128" s="845">
        <v>117816546666.66667</v>
      </c>
      <c r="AF128" s="845">
        <v>126679321011.8044</v>
      </c>
      <c r="AG128" s="845"/>
    </row>
    <row r="129" spans="1:33">
      <c r="A129" s="22">
        <v>93</v>
      </c>
      <c r="B129" s="22" t="s">
        <v>20</v>
      </c>
      <c r="C129" s="846">
        <v>2144300006.1913726</v>
      </c>
      <c r="D129" s="846">
        <v>2474700227.0308499</v>
      </c>
      <c r="E129" s="846">
        <v>2454499872.0509133</v>
      </c>
      <c r="F129" s="846">
        <v>2753100057.782527</v>
      </c>
      <c r="G129" s="846">
        <v>3117599872.0961342</v>
      </c>
      <c r="H129" s="846">
        <v>2683699935.3203902</v>
      </c>
      <c r="I129" s="846">
        <v>2885799993.9217896</v>
      </c>
      <c r="J129" s="846">
        <v>3851200117.7378306</v>
      </c>
      <c r="K129" s="846">
        <v>2630900095.5920281</v>
      </c>
      <c r="L129" s="846">
        <v>1013199986.9499623</v>
      </c>
      <c r="M129" s="846">
        <v>1009455501.9137759</v>
      </c>
      <c r="N129" s="846">
        <v>1488804123.7113404</v>
      </c>
      <c r="O129" s="846">
        <v>1792800000</v>
      </c>
      <c r="P129" s="846">
        <v>1756454281.2108235</v>
      </c>
      <c r="Q129" s="846">
        <v>2977433035.7142859</v>
      </c>
      <c r="R129" s="846">
        <v>3191142098.2735724</v>
      </c>
      <c r="S129" s="846">
        <v>3320533491.4048605</v>
      </c>
      <c r="T129" s="846">
        <v>3383442173.5587049</v>
      </c>
      <c r="U129" s="846">
        <v>3572495062.4167223</v>
      </c>
      <c r="V129" s="846">
        <v>3742404741.7442842</v>
      </c>
      <c r="W129" s="846">
        <v>3936327817.1788812</v>
      </c>
      <c r="X129" s="846">
        <v>4102656986.8638334</v>
      </c>
      <c r="Y129" s="846">
        <v>4026408421.0526314</v>
      </c>
      <c r="Z129" s="846">
        <v>4102111946.1292157</v>
      </c>
      <c r="AA129" s="846">
        <v>4466767106.0891399</v>
      </c>
      <c r="AB129" s="846">
        <v>4872941601.9127312</v>
      </c>
      <c r="AC129" s="846">
        <v>5230337507.4083309</v>
      </c>
      <c r="AD129" s="846">
        <v>5661593168.5033731</v>
      </c>
      <c r="AE129" s="846">
        <v>6372242896.5554743</v>
      </c>
      <c r="AF129" s="846">
        <v>6213677112.1758728</v>
      </c>
      <c r="AG129" s="846">
        <v>6551182431.2573109</v>
      </c>
    </row>
    <row r="130" spans="1:33">
      <c r="A130" s="22">
        <v>475</v>
      </c>
      <c r="B130" s="22" t="s">
        <v>99</v>
      </c>
      <c r="C130" s="848">
        <v>64201788076.628349</v>
      </c>
      <c r="D130" s="848">
        <v>59918536009.445099</v>
      </c>
      <c r="E130" s="848">
        <v>49763409961.685822</v>
      </c>
      <c r="F130" s="848">
        <v>34950458715.596329</v>
      </c>
      <c r="G130" s="848">
        <v>28182543198.936642</v>
      </c>
      <c r="H130" s="848">
        <v>28407930899.096973</v>
      </c>
      <c r="I130" s="848">
        <v>20210788381.742737</v>
      </c>
      <c r="J130" s="848">
        <v>23441334768.568356</v>
      </c>
      <c r="K130" s="848">
        <v>22847726915.211578</v>
      </c>
      <c r="L130" s="848">
        <v>23843508697.496815</v>
      </c>
      <c r="M130" s="848">
        <v>28472471050.906708</v>
      </c>
      <c r="N130" s="848">
        <v>27313352201.781403</v>
      </c>
      <c r="O130" s="848">
        <v>32710369045.787601</v>
      </c>
      <c r="P130" s="848">
        <v>21352759381.898457</v>
      </c>
      <c r="Q130" s="848">
        <v>23663389441.469013</v>
      </c>
      <c r="R130" s="848">
        <v>28108826037.52132</v>
      </c>
      <c r="S130" s="848">
        <v>35299150000</v>
      </c>
      <c r="T130" s="848">
        <v>36229368991.865913</v>
      </c>
      <c r="U130" s="848">
        <v>32143818181.81818</v>
      </c>
      <c r="V130" s="848">
        <v>34776040200.134293</v>
      </c>
      <c r="W130" s="848">
        <v>45983600313.281418</v>
      </c>
      <c r="X130" s="848">
        <v>47999775242.513329</v>
      </c>
      <c r="Y130" s="848">
        <v>59116847820.743805</v>
      </c>
      <c r="Z130" s="848">
        <v>67656023323.765839</v>
      </c>
      <c r="AA130" s="848">
        <v>87845420491.90596</v>
      </c>
      <c r="AB130" s="848">
        <v>112248609249.75166</v>
      </c>
      <c r="AC130" s="848">
        <v>146867334823.51892</v>
      </c>
      <c r="AD130" s="848">
        <v>165920866365.37503</v>
      </c>
      <c r="AE130" s="848">
        <v>207117912034.14706</v>
      </c>
      <c r="AF130" s="848">
        <v>168567245570.91241</v>
      </c>
      <c r="AG130" s="848">
        <v>193668738106.96085</v>
      </c>
    </row>
    <row r="131" spans="1:33">
      <c r="A131" s="22">
        <v>436</v>
      </c>
      <c r="B131" s="22" t="s">
        <v>90</v>
      </c>
      <c r="C131" s="847">
        <v>2508531310.2012033</v>
      </c>
      <c r="D131" s="847">
        <v>2170905022.4855552</v>
      </c>
      <c r="E131" s="847">
        <v>2017619909.2284048</v>
      </c>
      <c r="F131" s="847">
        <v>1803104463.2910397</v>
      </c>
      <c r="G131" s="847">
        <v>1461248897.5569568</v>
      </c>
      <c r="H131" s="847">
        <v>1440587946.8015251</v>
      </c>
      <c r="I131" s="847">
        <v>1904101968.657686</v>
      </c>
      <c r="J131" s="847">
        <v>2233017710.8423309</v>
      </c>
      <c r="K131" s="847">
        <v>2280365525.6557899</v>
      </c>
      <c r="L131" s="847">
        <v>2179575989.5425491</v>
      </c>
      <c r="M131" s="847">
        <v>2480680484.0008225</v>
      </c>
      <c r="N131" s="847">
        <v>2327993642.7867541</v>
      </c>
      <c r="O131" s="847">
        <v>2344994701.8976846</v>
      </c>
      <c r="P131" s="847">
        <v>1606581743.7134316</v>
      </c>
      <c r="Q131" s="847">
        <v>1563220457.867435</v>
      </c>
      <c r="R131" s="847">
        <v>1880797332.9379947</v>
      </c>
      <c r="S131" s="847">
        <v>1987780224.4629068</v>
      </c>
      <c r="T131" s="847">
        <v>1845597711.2546475</v>
      </c>
      <c r="U131" s="847">
        <v>2076743693.0180521</v>
      </c>
      <c r="V131" s="847">
        <v>2018190752.9511125</v>
      </c>
      <c r="W131" s="847">
        <v>1798365122.6158037</v>
      </c>
      <c r="X131" s="847">
        <v>1945323583.9790463</v>
      </c>
      <c r="Y131" s="847">
        <v>2170481508.8691602</v>
      </c>
      <c r="Z131" s="847">
        <v>2731417756.3678594</v>
      </c>
      <c r="AA131" s="847">
        <v>3052898739.467802</v>
      </c>
      <c r="AB131" s="847">
        <v>3405135477.412848</v>
      </c>
      <c r="AC131" s="847">
        <v>3645126125.9538336</v>
      </c>
      <c r="AD131" s="847">
        <v>4290510300.1041174</v>
      </c>
      <c r="AE131" s="847">
        <v>5369911346.329917</v>
      </c>
      <c r="AF131" s="847">
        <v>5259368130.3554106</v>
      </c>
      <c r="AG131" s="847">
        <v>5548814097.9694195</v>
      </c>
    </row>
    <row r="132" spans="1:33">
      <c r="A132" s="22">
        <v>385</v>
      </c>
      <c r="B132" s="22" t="s">
        <v>78</v>
      </c>
      <c r="C132" s="849">
        <v>63714366699.060585</v>
      </c>
      <c r="D132" s="849">
        <v>62867322937.538116</v>
      </c>
      <c r="E132" s="849">
        <v>61850635264.951973</v>
      </c>
      <c r="F132" s="849">
        <v>60779973685.653198</v>
      </c>
      <c r="G132" s="849">
        <v>61098572566.317467</v>
      </c>
      <c r="H132" s="849">
        <v>64257200018.610703</v>
      </c>
      <c r="I132" s="849">
        <v>77202861508.918549</v>
      </c>
      <c r="J132" s="849">
        <v>92447792207.792206</v>
      </c>
      <c r="K132" s="849">
        <v>100057081479.20822</v>
      </c>
      <c r="L132" s="849">
        <v>100770511984.93736</v>
      </c>
      <c r="M132" s="849">
        <v>117624486796.49185</v>
      </c>
      <c r="N132" s="849">
        <v>119657406407.62622</v>
      </c>
      <c r="O132" s="849">
        <v>128298978196.15416</v>
      </c>
      <c r="P132" s="849">
        <v>118168337068.83185</v>
      </c>
      <c r="Q132" s="849">
        <v>124519241668.55588</v>
      </c>
      <c r="R132" s="849">
        <v>148919844677.35825</v>
      </c>
      <c r="S132" s="849">
        <v>160158299482.15448</v>
      </c>
      <c r="T132" s="849">
        <v>158223061045.60748</v>
      </c>
      <c r="U132" s="849">
        <v>151139149911.86334</v>
      </c>
      <c r="V132" s="849">
        <v>159045286696.07138</v>
      </c>
      <c r="W132" s="849">
        <v>168288418278.07947</v>
      </c>
      <c r="X132" s="849">
        <v>170922851073.76804</v>
      </c>
      <c r="Y132" s="849">
        <v>191927027230.14105</v>
      </c>
      <c r="Z132" s="849">
        <v>225110307618.42886</v>
      </c>
      <c r="AA132" s="849">
        <v>258579581446.20172</v>
      </c>
      <c r="AB132" s="849">
        <v>302012572759.02209</v>
      </c>
      <c r="AC132" s="849">
        <v>336731931773.35333</v>
      </c>
      <c r="AD132" s="849">
        <v>387535804642.70422</v>
      </c>
      <c r="AE132" s="849">
        <v>446241134751.77307</v>
      </c>
      <c r="AF132" s="849">
        <v>378614194865.72748</v>
      </c>
      <c r="AG132" s="849">
        <v>414461767544.46411</v>
      </c>
    </row>
    <row r="133" spans="1:33">
      <c r="A133" s="22">
        <v>210</v>
      </c>
      <c r="B133" s="22" t="s">
        <v>37</v>
      </c>
      <c r="C133" s="844">
        <v>180770339170.91553</v>
      </c>
      <c r="D133" s="844">
        <v>152038329064.73547</v>
      </c>
      <c r="E133" s="844">
        <v>146800363126.18634</v>
      </c>
      <c r="F133" s="844">
        <v>142137286696.00803</v>
      </c>
      <c r="G133" s="844">
        <v>133307005494.50549</v>
      </c>
      <c r="H133" s="844">
        <v>133245090233.54564</v>
      </c>
      <c r="I133" s="844">
        <v>186059543083.28839</v>
      </c>
      <c r="J133" s="844">
        <v>226987597911.22714</v>
      </c>
      <c r="K133" s="844">
        <v>242608986509.08685</v>
      </c>
      <c r="L133" s="844">
        <v>239298555544.00912</v>
      </c>
      <c r="M133" s="844">
        <v>294871112186.85706</v>
      </c>
      <c r="N133" s="844">
        <v>303365157944.36584</v>
      </c>
      <c r="O133" s="844">
        <v>336214285714.28571</v>
      </c>
      <c r="P133" s="844">
        <v>327495253915.51971</v>
      </c>
      <c r="Q133" s="844">
        <v>351190216733.26068</v>
      </c>
      <c r="R133" s="844">
        <v>418969256107.60364</v>
      </c>
      <c r="S133" s="844">
        <v>417980392156.86273</v>
      </c>
      <c r="T133" s="844">
        <v>386533770047.43622</v>
      </c>
      <c r="U133" s="844">
        <v>402648300377.69385</v>
      </c>
      <c r="V133" s="844">
        <v>411456424461.96466</v>
      </c>
      <c r="W133" s="844">
        <v>385074626865.67169</v>
      </c>
      <c r="X133" s="844">
        <v>400654138702.46088</v>
      </c>
      <c r="Y133" s="844">
        <v>437807265198.56958</v>
      </c>
      <c r="Z133" s="844">
        <v>538312641083.52142</v>
      </c>
      <c r="AA133" s="844">
        <v>609889925685.86914</v>
      </c>
      <c r="AB133" s="844">
        <v>638470626274.68542</v>
      </c>
      <c r="AC133" s="844">
        <v>677691901432.74524</v>
      </c>
      <c r="AD133" s="844">
        <v>782566743038.27612</v>
      </c>
      <c r="AE133" s="844">
        <v>873367268465.96106</v>
      </c>
      <c r="AF133" s="844">
        <v>794588542223.79041</v>
      </c>
      <c r="AG133" s="844">
        <v>783413245033.11255</v>
      </c>
    </row>
    <row r="134" spans="1:33">
      <c r="A134" s="22">
        <v>698</v>
      </c>
      <c r="B134" s="22" t="s">
        <v>147</v>
      </c>
      <c r="C134" s="850">
        <v>5981760088.673399</v>
      </c>
      <c r="D134" s="850">
        <v>7259120021.71803</v>
      </c>
      <c r="E134" s="850">
        <v>7554719229.4506693</v>
      </c>
      <c r="F134" s="850">
        <v>7932541574.2454901</v>
      </c>
      <c r="G134" s="850">
        <v>8821443172.0730801</v>
      </c>
      <c r="H134" s="850">
        <v>10005645467.127497</v>
      </c>
      <c r="I134" s="850">
        <v>7324167383.9424133</v>
      </c>
      <c r="J134" s="850">
        <v>7811183251.5222521</v>
      </c>
      <c r="K134" s="850">
        <v>8386215932.3604317</v>
      </c>
      <c r="L134" s="850">
        <v>9372171727.0442085</v>
      </c>
      <c r="M134" s="850">
        <v>11685045607.846855</v>
      </c>
      <c r="N134" s="850">
        <v>11341482538.757509</v>
      </c>
      <c r="O134" s="850">
        <v>12452275788.283747</v>
      </c>
      <c r="P134" s="850">
        <v>12493108040.888577</v>
      </c>
      <c r="Q134" s="850">
        <v>12918855771.23859</v>
      </c>
      <c r="R134" s="850">
        <v>13802600904.500271</v>
      </c>
      <c r="S134" s="850">
        <v>15277763467.756916</v>
      </c>
      <c r="T134" s="850">
        <v>15837451381.241234</v>
      </c>
      <c r="U134" s="850">
        <v>14085373242.709396</v>
      </c>
      <c r="V134" s="850">
        <v>15710148340.080713</v>
      </c>
      <c r="W134" s="850">
        <v>19867880550.271351</v>
      </c>
      <c r="X134" s="850">
        <v>19949284974.854725</v>
      </c>
      <c r="Y134" s="850">
        <v>20049414986.064991</v>
      </c>
      <c r="Z134" s="850">
        <v>21542262852.455093</v>
      </c>
      <c r="AA134" s="850">
        <v>24673602279.517262</v>
      </c>
      <c r="AB134" s="850">
        <v>30905071770.581177</v>
      </c>
      <c r="AC134" s="850">
        <v>36803641389.00061</v>
      </c>
      <c r="AD134" s="850">
        <v>41908973029.634361</v>
      </c>
      <c r="AE134" s="850">
        <v>60299090212.987007</v>
      </c>
      <c r="AF134" s="850">
        <v>46114434702.025993</v>
      </c>
      <c r="AG134" s="850"/>
    </row>
    <row r="135" spans="1:33">
      <c r="A135" s="22">
        <v>770</v>
      </c>
      <c r="B135" s="22" t="s">
        <v>162</v>
      </c>
      <c r="C135" s="851">
        <v>23689697675.646725</v>
      </c>
      <c r="D135" s="851">
        <v>28100606600.356647</v>
      </c>
      <c r="E135" s="851">
        <v>30725972227.818752</v>
      </c>
      <c r="F135" s="851">
        <v>28691890864.924801</v>
      </c>
      <c r="G135" s="851">
        <v>31151825048.139732</v>
      </c>
      <c r="H135" s="851">
        <v>31144920866.513065</v>
      </c>
      <c r="I135" s="851">
        <v>31899072715.360645</v>
      </c>
      <c r="J135" s="851">
        <v>33351526336.25209</v>
      </c>
      <c r="K135" s="851">
        <v>38472741071.321808</v>
      </c>
      <c r="L135" s="851">
        <v>40171021119.775719</v>
      </c>
      <c r="M135" s="851">
        <v>40010425587.142845</v>
      </c>
      <c r="N135" s="851">
        <v>45451961233.990463</v>
      </c>
      <c r="O135" s="851">
        <v>48635242274.156792</v>
      </c>
      <c r="P135" s="851">
        <v>51478354558.329887</v>
      </c>
      <c r="Q135" s="851">
        <v>51894795657.770912</v>
      </c>
      <c r="R135" s="851">
        <v>60636071684.191795</v>
      </c>
      <c r="S135" s="851">
        <v>63320170084.407555</v>
      </c>
      <c r="T135" s="851">
        <v>62433340468.022774</v>
      </c>
      <c r="U135" s="851">
        <v>62191955814.347786</v>
      </c>
      <c r="V135" s="851">
        <v>62973855718.88736</v>
      </c>
      <c r="W135" s="851">
        <v>73952374969.799469</v>
      </c>
      <c r="X135" s="851">
        <v>72309738921.33287</v>
      </c>
      <c r="Y135" s="851">
        <v>72306820396.232544</v>
      </c>
      <c r="Z135" s="851">
        <v>83244801092.709579</v>
      </c>
      <c r="AA135" s="851">
        <v>97977766197.672394</v>
      </c>
      <c r="AB135" s="851">
        <v>109599999999.99998</v>
      </c>
      <c r="AC135" s="851">
        <v>127500000000</v>
      </c>
      <c r="AD135" s="851">
        <v>143171182643.09662</v>
      </c>
      <c r="AE135" s="851">
        <v>163891676021.59778</v>
      </c>
      <c r="AF135" s="851">
        <v>161989976155.70294</v>
      </c>
      <c r="AG135" s="851">
        <v>174799150101.47064</v>
      </c>
    </row>
    <row r="136" spans="1:33">
      <c r="A136" s="22">
        <v>986</v>
      </c>
      <c r="B136" s="22" t="s">
        <v>188</v>
      </c>
      <c r="C136" s="852"/>
      <c r="D136" s="852"/>
      <c r="E136" s="852"/>
      <c r="F136" s="852"/>
      <c r="G136" s="852"/>
      <c r="H136" s="852"/>
      <c r="I136" s="852"/>
      <c r="J136" s="852"/>
      <c r="K136" s="852"/>
      <c r="L136" s="852"/>
      <c r="M136" s="852">
        <v>76888000</v>
      </c>
      <c r="N136" s="852">
        <v>83855000</v>
      </c>
      <c r="O136" s="852">
        <v>82451000</v>
      </c>
      <c r="P136" s="852">
        <v>75907000</v>
      </c>
      <c r="Q136" s="852">
        <v>83527000</v>
      </c>
      <c r="R136" s="852">
        <v>95237000</v>
      </c>
      <c r="S136" s="852">
        <v>108203000</v>
      </c>
      <c r="T136" s="852">
        <v>113213000</v>
      </c>
      <c r="U136" s="852">
        <v>117320000</v>
      </c>
      <c r="V136" s="852">
        <v>113485000</v>
      </c>
      <c r="W136" s="852">
        <v>119863000</v>
      </c>
      <c r="X136" s="852">
        <v>124656000</v>
      </c>
      <c r="Y136" s="852">
        <v>119455000</v>
      </c>
      <c r="Z136" s="852">
        <v>122728000</v>
      </c>
      <c r="AA136" s="852">
        <v>133560000</v>
      </c>
      <c r="AB136" s="852">
        <v>145428000</v>
      </c>
      <c r="AC136" s="852">
        <v>156614000</v>
      </c>
      <c r="AD136" s="852">
        <v>164289000</v>
      </c>
      <c r="AE136" s="852">
        <v>166394363.535</v>
      </c>
      <c r="AF136" s="852">
        <v>164691982.80167341</v>
      </c>
      <c r="AG136" s="852">
        <v>169665680.68228394</v>
      </c>
    </row>
    <row r="137" spans="1:33">
      <c r="A137" s="22">
        <v>95</v>
      </c>
      <c r="B137" s="22" t="s">
        <v>22</v>
      </c>
      <c r="C137" s="853">
        <v>3810300000</v>
      </c>
      <c r="D137" s="853">
        <v>4312700000</v>
      </c>
      <c r="E137" s="853">
        <v>4764700000</v>
      </c>
      <c r="F137" s="853">
        <v>4891900000</v>
      </c>
      <c r="G137" s="853">
        <v>5106300000</v>
      </c>
      <c r="H137" s="853">
        <v>5402000000</v>
      </c>
      <c r="I137" s="853">
        <v>5613700000</v>
      </c>
      <c r="J137" s="853">
        <v>5638300000</v>
      </c>
      <c r="K137" s="853">
        <v>4874500000</v>
      </c>
      <c r="L137" s="853">
        <v>4887500000</v>
      </c>
      <c r="M137" s="853">
        <v>5313200000</v>
      </c>
      <c r="N137" s="853">
        <v>5842300000</v>
      </c>
      <c r="O137" s="853">
        <v>6641400000</v>
      </c>
      <c r="P137" s="853">
        <v>7252700000</v>
      </c>
      <c r="Q137" s="853">
        <v>7733900000</v>
      </c>
      <c r="R137" s="853">
        <v>7906100000</v>
      </c>
      <c r="S137" s="853">
        <v>9322100000</v>
      </c>
      <c r="T137" s="853">
        <v>10084000000</v>
      </c>
      <c r="U137" s="853">
        <v>10932500000</v>
      </c>
      <c r="V137" s="853">
        <v>11456300000</v>
      </c>
      <c r="W137" s="853">
        <v>11620500000</v>
      </c>
      <c r="X137" s="853">
        <v>11807500000</v>
      </c>
      <c r="Y137" s="853">
        <v>12272400000</v>
      </c>
      <c r="Z137" s="853">
        <v>12933200000</v>
      </c>
      <c r="AA137" s="853">
        <v>14179300000</v>
      </c>
      <c r="AB137" s="853">
        <v>15464700000</v>
      </c>
      <c r="AC137" s="853">
        <v>17137000000</v>
      </c>
      <c r="AD137" s="853">
        <v>19794000000</v>
      </c>
      <c r="AE137" s="853">
        <v>23001600000</v>
      </c>
      <c r="AF137" s="853">
        <v>24080100000</v>
      </c>
      <c r="AG137" s="853">
        <v>26777100000</v>
      </c>
    </row>
    <row r="138" spans="1:33">
      <c r="A138" s="22">
        <v>150</v>
      </c>
      <c r="B138" s="22" t="s">
        <v>31</v>
      </c>
      <c r="C138" s="855">
        <v>4578785507.5555553</v>
      </c>
      <c r="D138" s="855">
        <v>5781301410.5396824</v>
      </c>
      <c r="E138" s="855">
        <v>5420588092.2352943</v>
      </c>
      <c r="F138" s="855">
        <v>5603424508.4931507</v>
      </c>
      <c r="G138" s="855">
        <v>4392449744.1636963</v>
      </c>
      <c r="H138" s="855">
        <v>3162899920.7042928</v>
      </c>
      <c r="I138" s="855">
        <v>3544259671.2760396</v>
      </c>
      <c r="J138" s="855">
        <v>3732934091.8802395</v>
      </c>
      <c r="K138" s="855">
        <v>3951333336.9904761</v>
      </c>
      <c r="L138" s="855">
        <v>4363188571.8613901</v>
      </c>
      <c r="M138" s="855">
        <v>5264595869.2470322</v>
      </c>
      <c r="N138" s="855">
        <v>6248792635.0739508</v>
      </c>
      <c r="O138" s="855">
        <v>6445510897.8204365</v>
      </c>
      <c r="P138" s="855">
        <v>6874792180.2442245</v>
      </c>
      <c r="Q138" s="855">
        <v>6940688924.2965145</v>
      </c>
      <c r="R138" s="855">
        <v>8065811597.5547628</v>
      </c>
      <c r="S138" s="855">
        <v>8744408795.7020607</v>
      </c>
      <c r="T138" s="855">
        <v>8872095650.397171</v>
      </c>
      <c r="U138" s="855">
        <v>7915133552.9066572</v>
      </c>
      <c r="V138" s="855">
        <v>7292038448.9115448</v>
      </c>
      <c r="W138" s="855">
        <v>7071265939.0775585</v>
      </c>
      <c r="X138" s="855">
        <v>6445764900.7525759</v>
      </c>
      <c r="Y138" s="855">
        <v>5045545608.5670586</v>
      </c>
      <c r="Z138" s="855">
        <v>5551643681.1119804</v>
      </c>
      <c r="AA138" s="855">
        <v>6949760482.9588909</v>
      </c>
      <c r="AB138" s="855">
        <v>7473231061.9598055</v>
      </c>
      <c r="AC138" s="855">
        <v>9275210016.3917351</v>
      </c>
      <c r="AD138" s="855">
        <v>12222355341.255648</v>
      </c>
      <c r="AE138" s="855">
        <v>16873155276.093391</v>
      </c>
      <c r="AF138" s="855">
        <v>14239629907.366793</v>
      </c>
      <c r="AG138" s="855">
        <v>18474738675.958187</v>
      </c>
    </row>
    <row r="139" spans="1:33">
      <c r="A139" s="22">
        <v>135</v>
      </c>
      <c r="B139" s="22" t="s">
        <v>28</v>
      </c>
      <c r="C139" s="856">
        <v>20661220078.296448</v>
      </c>
      <c r="D139" s="856">
        <v>24966849816.694012</v>
      </c>
      <c r="E139" s="856">
        <v>24817438679.379383</v>
      </c>
      <c r="F139" s="856">
        <v>19129866510.707012</v>
      </c>
      <c r="G139" s="856">
        <v>19845514734.244396</v>
      </c>
      <c r="H139" s="856">
        <v>18838400475.898026</v>
      </c>
      <c r="I139" s="856">
        <v>17977500454.14986</v>
      </c>
      <c r="J139" s="856">
        <v>23905267270.564514</v>
      </c>
      <c r="K139" s="856">
        <v>12375610633.689674</v>
      </c>
      <c r="L139" s="856">
        <v>20576647134.677692</v>
      </c>
      <c r="M139" s="856">
        <v>26294371425.060356</v>
      </c>
      <c r="N139" s="856">
        <v>34544482512.937447</v>
      </c>
      <c r="O139" s="856">
        <v>36084008138.771935</v>
      </c>
      <c r="P139" s="856">
        <v>34834667901.880615</v>
      </c>
      <c r="Q139" s="856">
        <v>44909998632.376244</v>
      </c>
      <c r="R139" s="856">
        <v>53674086051.430473</v>
      </c>
      <c r="S139" s="856">
        <v>55876101187.229477</v>
      </c>
      <c r="T139" s="856">
        <v>59222879292.052444</v>
      </c>
      <c r="U139" s="856">
        <v>56751679594.340157</v>
      </c>
      <c r="V139" s="856">
        <v>51509515206.370369</v>
      </c>
      <c r="W139" s="856">
        <v>53290390318.024948</v>
      </c>
      <c r="X139" s="856">
        <v>53935760985.210205</v>
      </c>
      <c r="Y139" s="856">
        <v>56772338815.445709</v>
      </c>
      <c r="Z139" s="856">
        <v>61346725170.052254</v>
      </c>
      <c r="AA139" s="856">
        <v>69725009964.830017</v>
      </c>
      <c r="AB139" s="856">
        <v>79385073422.330109</v>
      </c>
      <c r="AC139" s="856">
        <v>92303809835.526962</v>
      </c>
      <c r="AD139" s="856">
        <v>107233299364.52298</v>
      </c>
      <c r="AE139" s="856">
        <v>126822739599.82317</v>
      </c>
      <c r="AF139" s="856">
        <v>126923120548.98061</v>
      </c>
      <c r="AG139" s="856">
        <v>153844936636.8739</v>
      </c>
    </row>
    <row r="140" spans="1:33">
      <c r="A140" s="22">
        <v>840</v>
      </c>
      <c r="B140" s="22" t="s">
        <v>175</v>
      </c>
      <c r="C140" s="857">
        <v>32450398739.968079</v>
      </c>
      <c r="D140" s="857">
        <v>35646642135.54763</v>
      </c>
      <c r="E140" s="857">
        <v>37140164100.32608</v>
      </c>
      <c r="F140" s="857">
        <v>33212130822.770782</v>
      </c>
      <c r="G140" s="857">
        <v>31408478618.451878</v>
      </c>
      <c r="H140" s="857">
        <v>30734266462.175732</v>
      </c>
      <c r="I140" s="857">
        <v>29868363901.130302</v>
      </c>
      <c r="J140" s="857">
        <v>33195974365.37788</v>
      </c>
      <c r="K140" s="857">
        <v>37885485202.878769</v>
      </c>
      <c r="L140" s="857">
        <v>42575217414.942879</v>
      </c>
      <c r="M140" s="857">
        <v>44311595229.858994</v>
      </c>
      <c r="N140" s="857">
        <v>45417505303.289818</v>
      </c>
      <c r="O140" s="857">
        <v>52976363147.641785</v>
      </c>
      <c r="P140" s="857">
        <v>54368183871.67469</v>
      </c>
      <c r="Q140" s="857">
        <v>64084543195.215225</v>
      </c>
      <c r="R140" s="857">
        <v>74119868201.904831</v>
      </c>
      <c r="S140" s="857">
        <v>82848194394.7603</v>
      </c>
      <c r="T140" s="857">
        <v>82344374413.933929</v>
      </c>
      <c r="U140" s="857">
        <v>72207022471.594116</v>
      </c>
      <c r="V140" s="857">
        <v>82995145600.728775</v>
      </c>
      <c r="W140" s="857">
        <v>81026294681.243866</v>
      </c>
      <c r="X140" s="857">
        <v>76261998622.891907</v>
      </c>
      <c r="Y140" s="857">
        <v>81357657790.413651</v>
      </c>
      <c r="Z140" s="857">
        <v>83908205719.801254</v>
      </c>
      <c r="AA140" s="857">
        <v>91371236939.218964</v>
      </c>
      <c r="AB140" s="857">
        <v>103065972407.85881</v>
      </c>
      <c r="AC140" s="857">
        <v>122210719245.94229</v>
      </c>
      <c r="AD140" s="857">
        <v>149359920006.39975</v>
      </c>
      <c r="AE140" s="857">
        <v>173602533345.57751</v>
      </c>
      <c r="AF140" s="857">
        <v>168333540385.11411</v>
      </c>
      <c r="AG140" s="857">
        <v>199589447423.74707</v>
      </c>
    </row>
    <row r="141" spans="1:33">
      <c r="A141" s="22">
        <v>910</v>
      </c>
      <c r="B141" s="22" t="s">
        <v>178</v>
      </c>
      <c r="C141" s="854">
        <v>2545982960.2027125</v>
      </c>
      <c r="D141" s="854">
        <v>2498068350.6686478</v>
      </c>
      <c r="E141" s="854">
        <v>2368584969.5328369</v>
      </c>
      <c r="F141" s="854">
        <v>2562492486.544672</v>
      </c>
      <c r="G141" s="854">
        <v>2552526258.624527</v>
      </c>
      <c r="H141" s="854">
        <v>2423373084.0747776</v>
      </c>
      <c r="I141" s="854">
        <v>2648033798.6411362</v>
      </c>
      <c r="J141" s="854">
        <v>3143848335.7197928</v>
      </c>
      <c r="K141" s="854">
        <v>3655979665.5518394</v>
      </c>
      <c r="L141" s="854">
        <v>3546460176.9911504</v>
      </c>
      <c r="M141" s="854">
        <v>3219730364.999999</v>
      </c>
      <c r="N141" s="854">
        <v>3787352286.666666</v>
      </c>
      <c r="O141" s="854">
        <v>4377984100</v>
      </c>
      <c r="P141" s="854">
        <v>4974662910</v>
      </c>
      <c r="Q141" s="854">
        <v>5502648500.000001</v>
      </c>
      <c r="R141" s="854">
        <v>4636113480</v>
      </c>
      <c r="S141" s="854">
        <v>5155485419.7000008</v>
      </c>
      <c r="T141" s="854">
        <v>4936605080</v>
      </c>
      <c r="U141" s="854">
        <v>3789428159.9999995</v>
      </c>
      <c r="V141" s="854">
        <v>3477060138.333333</v>
      </c>
      <c r="W141" s="854">
        <v>3521348154.7966666</v>
      </c>
      <c r="X141" s="854">
        <v>3081029665.9823308</v>
      </c>
      <c r="Y141" s="854">
        <v>2999542369.4211669</v>
      </c>
      <c r="Z141" s="854">
        <v>3536459119.8820891</v>
      </c>
      <c r="AA141" s="854">
        <v>3927114456.8430958</v>
      </c>
      <c r="AB141" s="854">
        <v>4901584516.1290321</v>
      </c>
      <c r="AC141" s="854">
        <v>5598700444.4444447</v>
      </c>
      <c r="AD141" s="854">
        <v>6329292929.2929287</v>
      </c>
      <c r="AE141" s="854">
        <v>8010370370.3703699</v>
      </c>
      <c r="AF141" s="854">
        <v>7914594202.898551</v>
      </c>
      <c r="AG141" s="854">
        <v>9480047958.8083858</v>
      </c>
    </row>
    <row r="142" spans="1:33">
      <c r="A142" s="22">
        <v>290</v>
      </c>
      <c r="B142" s="22" t="s">
        <v>48</v>
      </c>
      <c r="C142" s="858"/>
      <c r="D142" s="858"/>
      <c r="E142" s="858"/>
      <c r="F142" s="858"/>
      <c r="G142" s="858"/>
      <c r="H142" s="858">
        <v>71004758667.573074</v>
      </c>
      <c r="I142" s="858">
        <v>73890473474.044495</v>
      </c>
      <c r="J142" s="858">
        <v>63877404752.923431</v>
      </c>
      <c r="K142" s="858">
        <v>68823925667.82811</v>
      </c>
      <c r="L142" s="858">
        <v>82211436909.394119</v>
      </c>
      <c r="M142" s="858">
        <v>58975894567.418365</v>
      </c>
      <c r="N142" s="858">
        <v>76427193688.534485</v>
      </c>
      <c r="O142" s="858">
        <v>84325431461.526474</v>
      </c>
      <c r="P142" s="858">
        <v>85850630505.575226</v>
      </c>
      <c r="Q142" s="858">
        <v>98515947588.215744</v>
      </c>
      <c r="R142" s="858">
        <v>139061724220.40594</v>
      </c>
      <c r="S142" s="858">
        <v>156684025073.25397</v>
      </c>
      <c r="T142" s="858">
        <v>157153896117.7572</v>
      </c>
      <c r="U142" s="858">
        <v>172901507740.11624</v>
      </c>
      <c r="V142" s="858">
        <v>167958110564.11343</v>
      </c>
      <c r="W142" s="858">
        <v>171276118424.23154</v>
      </c>
      <c r="X142" s="858">
        <v>190420821221.81784</v>
      </c>
      <c r="Y142" s="858">
        <v>198179523189.78049</v>
      </c>
      <c r="Z142" s="858">
        <v>216800940068.0881</v>
      </c>
      <c r="AA142" s="858">
        <v>252768889229.12042</v>
      </c>
      <c r="AB142" s="858">
        <v>303912340672.79047</v>
      </c>
      <c r="AC142" s="858">
        <v>341670072522.15955</v>
      </c>
      <c r="AD142" s="858">
        <v>425321393718.14795</v>
      </c>
      <c r="AE142" s="858">
        <v>529400755437.48956</v>
      </c>
      <c r="AF142" s="858">
        <v>430645331880.38849</v>
      </c>
      <c r="AG142" s="858">
        <v>468585140961.85736</v>
      </c>
    </row>
    <row r="143" spans="1:33">
      <c r="A143" s="22">
        <v>235</v>
      </c>
      <c r="B143" s="22" t="s">
        <v>46</v>
      </c>
      <c r="C143" s="859">
        <v>32422240288.346016</v>
      </c>
      <c r="D143" s="859">
        <v>31516247850.162868</v>
      </c>
      <c r="E143" s="859">
        <v>30087624899.091827</v>
      </c>
      <c r="F143" s="859">
        <v>26846926836.771626</v>
      </c>
      <c r="G143" s="859">
        <v>24854392933.442894</v>
      </c>
      <c r="H143" s="859">
        <v>26724868772.796799</v>
      </c>
      <c r="I143" s="859">
        <v>38187288245.543495</v>
      </c>
      <c r="J143" s="859">
        <v>47488254475.594139</v>
      </c>
      <c r="K143" s="859">
        <v>55534872367.688026</v>
      </c>
      <c r="L143" s="859">
        <v>59720485459.638405</v>
      </c>
      <c r="M143" s="859">
        <v>77579013528.33638</v>
      </c>
      <c r="N143" s="859">
        <v>87947086665.741638</v>
      </c>
      <c r="O143" s="859">
        <v>106040904588.65459</v>
      </c>
      <c r="P143" s="859">
        <v>93639961862.610641</v>
      </c>
      <c r="Q143" s="859">
        <v>98251393659.420288</v>
      </c>
      <c r="R143" s="859">
        <v>116418999601.96364</v>
      </c>
      <c r="S143" s="859">
        <v>120986223030.9332</v>
      </c>
      <c r="T143" s="859">
        <v>115472955974.84276</v>
      </c>
      <c r="U143" s="859">
        <v>122555765805.87712</v>
      </c>
      <c r="V143" s="859">
        <v>126113360323.88664</v>
      </c>
      <c r="W143" s="859">
        <v>117014464713.4697</v>
      </c>
      <c r="X143" s="859">
        <v>120033199105.14542</v>
      </c>
      <c r="Y143" s="859">
        <v>131886034255.59947</v>
      </c>
      <c r="Z143" s="859">
        <v>161416365688.48758</v>
      </c>
      <c r="AA143" s="859">
        <v>184794844573.57843</v>
      </c>
      <c r="AB143" s="859">
        <v>191175943888.9718</v>
      </c>
      <c r="AC143" s="859">
        <v>201060414656.88004</v>
      </c>
      <c r="AD143" s="859">
        <v>231741573802.62183</v>
      </c>
      <c r="AE143" s="859">
        <v>251925293880.68991</v>
      </c>
      <c r="AF143" s="859">
        <v>234232186740.71985</v>
      </c>
      <c r="AG143" s="859">
        <v>228538145695.36423</v>
      </c>
    </row>
    <row r="144" spans="1:33">
      <c r="A144" s="22">
        <v>694</v>
      </c>
      <c r="B144" s="22" t="s">
        <v>145</v>
      </c>
      <c r="C144" s="860">
        <v>7829094485.1748343</v>
      </c>
      <c r="D144" s="860">
        <v>8661263504.2300282</v>
      </c>
      <c r="E144" s="860">
        <v>7596703007.4379501</v>
      </c>
      <c r="F144" s="860">
        <v>6467582125.693306</v>
      </c>
      <c r="G144" s="860">
        <v>6704395622.1650848</v>
      </c>
      <c r="H144" s="860">
        <v>6153296279.8059149</v>
      </c>
      <c r="I144" s="860">
        <v>5053021814.8123398</v>
      </c>
      <c r="J144" s="860">
        <v>5446428537.5403595</v>
      </c>
      <c r="K144" s="860">
        <v>6038186867.7387333</v>
      </c>
      <c r="L144" s="860">
        <v>6487911900.9315815</v>
      </c>
      <c r="M144" s="860">
        <v>7360439207.6536264</v>
      </c>
      <c r="N144" s="860">
        <v>6883516285.1347265</v>
      </c>
      <c r="O144" s="860">
        <v>7646153766.4523487</v>
      </c>
      <c r="P144" s="860">
        <v>7156593446.4954586</v>
      </c>
      <c r="Q144" s="860">
        <v>7374450565.4915791</v>
      </c>
      <c r="R144" s="860">
        <v>8137911747.8843632</v>
      </c>
      <c r="S144" s="860">
        <v>9059340116.9333515</v>
      </c>
      <c r="T144" s="860">
        <v>11297801801.87182</v>
      </c>
      <c r="U144" s="860">
        <v>10255494737.405436</v>
      </c>
      <c r="V144" s="860">
        <v>12393131510.963947</v>
      </c>
      <c r="W144" s="860">
        <v>17759889598.053143</v>
      </c>
      <c r="X144" s="860">
        <v>17538461033.006104</v>
      </c>
      <c r="Y144" s="860">
        <v>19363735705.676727</v>
      </c>
      <c r="Z144" s="860">
        <v>23533790530.551407</v>
      </c>
      <c r="AA144" s="860">
        <v>31675273812.398773</v>
      </c>
      <c r="AB144" s="860">
        <v>43040108649.701355</v>
      </c>
      <c r="AC144" s="860">
        <v>60496701553.198746</v>
      </c>
      <c r="AD144" s="860">
        <v>80750821848.599365</v>
      </c>
      <c r="AE144" s="860">
        <v>110712359446.65146</v>
      </c>
      <c r="AF144" s="860">
        <v>98313183979.817734</v>
      </c>
      <c r="AG144" s="860"/>
    </row>
    <row r="145" spans="1:33">
      <c r="A145" s="22">
        <v>732</v>
      </c>
      <c r="B145" s="22" t="s">
        <v>158</v>
      </c>
      <c r="C145" s="812">
        <v>63834351283.275444</v>
      </c>
      <c r="D145" s="812">
        <v>71469245114.018478</v>
      </c>
      <c r="E145" s="812">
        <v>76218197734.858017</v>
      </c>
      <c r="F145" s="812">
        <v>84510602642.603928</v>
      </c>
      <c r="G145" s="812">
        <v>93210997791.508469</v>
      </c>
      <c r="H145" s="812">
        <v>96619732879.703918</v>
      </c>
      <c r="I145" s="812">
        <v>111305576039.48039</v>
      </c>
      <c r="J145" s="812">
        <v>140005592229.23276</v>
      </c>
      <c r="K145" s="812">
        <v>187446511818.6665</v>
      </c>
      <c r="L145" s="812">
        <v>230473148065.4097</v>
      </c>
      <c r="M145" s="812">
        <v>263776986549.1127</v>
      </c>
      <c r="N145" s="812">
        <v>308185041249.0625</v>
      </c>
      <c r="O145" s="812">
        <v>329885864343.81604</v>
      </c>
      <c r="P145" s="812">
        <v>362135746944.57251</v>
      </c>
      <c r="Q145" s="812">
        <v>423434190055.38611</v>
      </c>
      <c r="R145" s="812">
        <v>517118129837.79999</v>
      </c>
      <c r="S145" s="812">
        <v>557643607433.65027</v>
      </c>
      <c r="T145" s="812">
        <v>516282942110.18726</v>
      </c>
      <c r="U145" s="812">
        <v>345432412375.84198</v>
      </c>
      <c r="V145" s="812">
        <v>445399303511.04462</v>
      </c>
      <c r="W145" s="812">
        <v>533384027728.65527</v>
      </c>
      <c r="X145" s="812">
        <v>504585783003.74133</v>
      </c>
      <c r="Y145" s="812">
        <v>575928909990.48828</v>
      </c>
      <c r="Z145" s="812">
        <v>643762388701.00122</v>
      </c>
      <c r="AA145" s="812">
        <v>721975255823.69995</v>
      </c>
      <c r="AB145" s="812">
        <v>844863004335.42957</v>
      </c>
      <c r="AC145" s="812">
        <v>951773478984.90771</v>
      </c>
      <c r="AD145" s="812">
        <v>1049235951186.9659</v>
      </c>
      <c r="AE145" s="812">
        <v>931402204981.62524</v>
      </c>
      <c r="AF145" s="812">
        <v>834060441840.97791</v>
      </c>
      <c r="AG145" s="812">
        <v>1014483158313.5824</v>
      </c>
    </row>
    <row r="146" spans="1:33">
      <c r="A146" s="22">
        <v>360</v>
      </c>
      <c r="B146" s="22" t="s">
        <v>66</v>
      </c>
      <c r="C146" s="861"/>
      <c r="D146" s="861"/>
      <c r="E146" s="861"/>
      <c r="F146" s="861"/>
      <c r="G146" s="861"/>
      <c r="H146" s="861"/>
      <c r="I146" s="861"/>
      <c r="J146" s="861">
        <v>38067565160.583885</v>
      </c>
      <c r="K146" s="861">
        <v>40424526825.790344</v>
      </c>
      <c r="L146" s="861">
        <v>41450779108.672424</v>
      </c>
      <c r="M146" s="861">
        <v>38299106119.926315</v>
      </c>
      <c r="N146" s="861">
        <v>28846858763.085384</v>
      </c>
      <c r="O146" s="861">
        <v>25090303816.805599</v>
      </c>
      <c r="P146" s="861">
        <v>26361161947.642654</v>
      </c>
      <c r="Q146" s="861">
        <v>30072623842.28244</v>
      </c>
      <c r="R146" s="861">
        <v>35477055618.924644</v>
      </c>
      <c r="S146" s="861">
        <v>35333677695.259315</v>
      </c>
      <c r="T146" s="861">
        <v>35285888482.047905</v>
      </c>
      <c r="U146" s="861">
        <v>42115494069.273415</v>
      </c>
      <c r="V146" s="861">
        <v>35592337082.86042</v>
      </c>
      <c r="W146" s="861">
        <v>37052636395.193802</v>
      </c>
      <c r="X146" s="861">
        <v>40180746113.183678</v>
      </c>
      <c r="Y146" s="861">
        <v>45824529874.337173</v>
      </c>
      <c r="Z146" s="861">
        <v>59507345650.253036</v>
      </c>
      <c r="AA146" s="861">
        <v>75489440362.10025</v>
      </c>
      <c r="AB146" s="861">
        <v>98913392471.967285</v>
      </c>
      <c r="AC146" s="861">
        <v>122641508767.76041</v>
      </c>
      <c r="AD146" s="861">
        <v>169282491900.09433</v>
      </c>
      <c r="AE146" s="861">
        <v>200071062765.49289</v>
      </c>
      <c r="AF146" s="861">
        <v>161110320401.40359</v>
      </c>
      <c r="AG146" s="861">
        <v>161623662680.9314</v>
      </c>
    </row>
    <row r="147" spans="1:33">
      <c r="A147" s="22">
        <v>365</v>
      </c>
      <c r="B147" s="22" t="s">
        <v>67</v>
      </c>
      <c r="C147" s="862"/>
      <c r="D147" s="862"/>
      <c r="E147" s="862"/>
      <c r="F147" s="862"/>
      <c r="G147" s="862"/>
      <c r="H147" s="862"/>
      <c r="I147" s="862"/>
      <c r="J147" s="862"/>
      <c r="K147" s="862"/>
      <c r="L147" s="862">
        <v>506500146307.61395</v>
      </c>
      <c r="M147" s="862">
        <v>516814258695.56842</v>
      </c>
      <c r="N147" s="862">
        <v>509381638906.29327</v>
      </c>
      <c r="O147" s="862">
        <v>460205414725.77142</v>
      </c>
      <c r="P147" s="862">
        <v>435060123490.73212</v>
      </c>
      <c r="Q147" s="862">
        <v>395086555837.01459</v>
      </c>
      <c r="R147" s="862">
        <v>395528488655.67078</v>
      </c>
      <c r="S147" s="862">
        <v>391721392325.08966</v>
      </c>
      <c r="T147" s="862">
        <v>404926534140.01727</v>
      </c>
      <c r="U147" s="862">
        <v>270953116950.02576</v>
      </c>
      <c r="V147" s="862">
        <v>195905767668.56213</v>
      </c>
      <c r="W147" s="862">
        <v>259708496267.33026</v>
      </c>
      <c r="X147" s="862">
        <v>306602673980.11652</v>
      </c>
      <c r="Y147" s="862">
        <v>345110438693.57251</v>
      </c>
      <c r="Z147" s="862">
        <v>430347770733.15393</v>
      </c>
      <c r="AA147" s="862">
        <v>591016690742.93799</v>
      </c>
      <c r="AB147" s="862">
        <v>764000901160.57886</v>
      </c>
      <c r="AC147" s="862">
        <v>989930542278.68481</v>
      </c>
      <c r="AD147" s="862">
        <v>1299705764824.4819</v>
      </c>
      <c r="AE147" s="862">
        <v>1660846387626.0032</v>
      </c>
      <c r="AF147" s="862">
        <v>1221991353711.7578</v>
      </c>
      <c r="AG147" s="862">
        <v>1479819314058.2314</v>
      </c>
    </row>
    <row r="148" spans="1:33">
      <c r="A148" s="22">
        <v>517</v>
      </c>
      <c r="B148" s="22" t="s">
        <v>109</v>
      </c>
      <c r="C148" s="863">
        <v>1163184014.1717696</v>
      </c>
      <c r="D148" s="863">
        <v>1320982376.2772722</v>
      </c>
      <c r="E148" s="863">
        <v>1410577394.3740704</v>
      </c>
      <c r="F148" s="863">
        <v>1507165402.7735944</v>
      </c>
      <c r="G148" s="863">
        <v>1588378077.8406281</v>
      </c>
      <c r="H148" s="863">
        <v>1715332717.5463135</v>
      </c>
      <c r="I148" s="863">
        <v>1943621557.6710687</v>
      </c>
      <c r="J148" s="863">
        <v>2151682622.6916552</v>
      </c>
      <c r="K148" s="863">
        <v>2395578494.9057822</v>
      </c>
      <c r="L148" s="863">
        <v>2410194296.3299847</v>
      </c>
      <c r="M148" s="863">
        <v>2584367370.2982612</v>
      </c>
      <c r="N148" s="863">
        <v>1911970651.358273</v>
      </c>
      <c r="O148" s="863">
        <v>2037982629.5998588</v>
      </c>
      <c r="P148" s="863">
        <v>1971348322.0519931</v>
      </c>
      <c r="Q148" s="863">
        <v>753636370.61818182</v>
      </c>
      <c r="R148" s="863">
        <v>1293447629.5455544</v>
      </c>
      <c r="S148" s="863">
        <v>1382334846.4489837</v>
      </c>
      <c r="T148" s="863">
        <v>1851557080.9279392</v>
      </c>
      <c r="U148" s="863">
        <v>1989343578.5589755</v>
      </c>
      <c r="V148" s="863">
        <v>1931185215.7069902</v>
      </c>
      <c r="W148" s="863">
        <v>1734921292.5929585</v>
      </c>
      <c r="X148" s="863">
        <v>1674685045.5782588</v>
      </c>
      <c r="Y148" s="863">
        <v>1640603016.6489134</v>
      </c>
      <c r="Z148" s="863">
        <v>1846148215.562206</v>
      </c>
      <c r="AA148" s="863">
        <v>2088892750.2707107</v>
      </c>
      <c r="AB148" s="863">
        <v>2581168602.0443926</v>
      </c>
      <c r="AC148" s="863">
        <v>3111203756.2628436</v>
      </c>
      <c r="AD148" s="863">
        <v>3741050577.8225622</v>
      </c>
      <c r="AE148" s="863">
        <v>4712306077.4767504</v>
      </c>
      <c r="AF148" s="863">
        <v>5261963315.4828987</v>
      </c>
      <c r="AG148" s="863">
        <v>5627667377.4301558</v>
      </c>
    </row>
    <row r="149" spans="1:33">
      <c r="A149" s="22">
        <v>560</v>
      </c>
      <c r="B149" s="22" t="s">
        <v>119</v>
      </c>
      <c r="C149" s="877">
        <v>80710215085.372787</v>
      </c>
      <c r="D149" s="877">
        <v>86830012488.977875</v>
      </c>
      <c r="E149" s="877">
        <v>80086547269.92131</v>
      </c>
      <c r="F149" s="877">
        <v>86013096939.640305</v>
      </c>
      <c r="G149" s="877">
        <v>85171208723.909378</v>
      </c>
      <c r="H149" s="877">
        <v>67066232217.380096</v>
      </c>
      <c r="I149" s="877">
        <v>79501624654.027954</v>
      </c>
      <c r="J149" s="877">
        <v>104022118644.51991</v>
      </c>
      <c r="K149" s="877">
        <v>114631068119.22919</v>
      </c>
      <c r="L149" s="877">
        <v>124908313644.76854</v>
      </c>
      <c r="M149" s="877">
        <v>112013925352.81616</v>
      </c>
      <c r="N149" s="877">
        <v>120225327665.38495</v>
      </c>
      <c r="O149" s="877">
        <v>130513036525.14131</v>
      </c>
      <c r="P149" s="877">
        <v>130405952096.51189</v>
      </c>
      <c r="Q149" s="877">
        <v>135777933839.56148</v>
      </c>
      <c r="R149" s="877">
        <v>151113089034.78378</v>
      </c>
      <c r="S149" s="877">
        <v>143732002576.50693</v>
      </c>
      <c r="T149" s="877">
        <v>148814150953.26382</v>
      </c>
      <c r="U149" s="877">
        <v>134295556521.53177</v>
      </c>
      <c r="V149" s="877">
        <v>133183580945.0919</v>
      </c>
      <c r="W149" s="877">
        <v>132877648090.73737</v>
      </c>
      <c r="X149" s="877">
        <v>118478978977.56049</v>
      </c>
      <c r="Y149" s="877">
        <v>111100827740.93811</v>
      </c>
      <c r="Z149" s="877">
        <v>168219302326.31729</v>
      </c>
      <c r="AA149" s="877">
        <v>219092937439.45602</v>
      </c>
      <c r="AB149" s="877">
        <v>247064310285.62997</v>
      </c>
      <c r="AC149" s="877">
        <v>261007039378.85199</v>
      </c>
      <c r="AD149" s="877">
        <v>286169133891.57269</v>
      </c>
      <c r="AE149" s="877">
        <v>275278721835.78955</v>
      </c>
      <c r="AF149" s="877">
        <v>282754441019.84882</v>
      </c>
      <c r="AG149" s="877">
        <v>363703902726.7373</v>
      </c>
    </row>
    <row r="150" spans="1:33">
      <c r="A150" s="22">
        <v>92</v>
      </c>
      <c r="B150" s="22" t="s">
        <v>19</v>
      </c>
      <c r="C150" s="776">
        <v>3573959884.8000002</v>
      </c>
      <c r="D150" s="776">
        <v>3437200179.1999998</v>
      </c>
      <c r="E150" s="776">
        <v>3399189149.5462928</v>
      </c>
      <c r="F150" s="776">
        <v>3506347772.3590145</v>
      </c>
      <c r="G150" s="776">
        <v>3661683395.9653316</v>
      </c>
      <c r="H150" s="776">
        <v>3800368586.6311321</v>
      </c>
      <c r="I150" s="776">
        <v>3771663198.3157897</v>
      </c>
      <c r="J150" s="776">
        <v>3958045811.3194909</v>
      </c>
      <c r="K150" s="776">
        <v>4189880000.1155906</v>
      </c>
      <c r="L150" s="776">
        <v>4372215335.3846149</v>
      </c>
      <c r="M150" s="776">
        <v>4800907894.7368431</v>
      </c>
      <c r="N150" s="776">
        <v>5310996633.4164591</v>
      </c>
      <c r="O150" s="776">
        <v>5954671445.6391888</v>
      </c>
      <c r="P150" s="776">
        <v>6937988505.7471266</v>
      </c>
      <c r="Q150" s="776">
        <v>8085554285.7142859</v>
      </c>
      <c r="R150" s="776">
        <v>9500491428.5714283</v>
      </c>
      <c r="S150" s="776">
        <v>10315542857.142857</v>
      </c>
      <c r="T150" s="776">
        <v>11134716450.097376</v>
      </c>
      <c r="U150" s="776">
        <v>12008418171.428572</v>
      </c>
      <c r="V150" s="776">
        <v>12464655104.000002</v>
      </c>
      <c r="W150" s="776">
        <v>13134147767.999998</v>
      </c>
      <c r="X150" s="776">
        <v>13812744074.37714</v>
      </c>
      <c r="Y150" s="776">
        <v>14306700000</v>
      </c>
      <c r="Z150" s="776">
        <v>15046700000</v>
      </c>
      <c r="AA150" s="776">
        <v>15798300000</v>
      </c>
      <c r="AB150" s="776">
        <v>17070200000</v>
      </c>
      <c r="AC150" s="776">
        <v>18653600000</v>
      </c>
      <c r="AD150" s="776">
        <v>20376700000</v>
      </c>
      <c r="AE150" s="776">
        <v>22106800000</v>
      </c>
      <c r="AF150" s="776">
        <v>21100500000</v>
      </c>
      <c r="AG150" s="776">
        <v>21795720978.905441</v>
      </c>
    </row>
    <row r="151" spans="1:33">
      <c r="A151" s="22">
        <v>670</v>
      </c>
      <c r="B151" s="22" t="s">
        <v>141</v>
      </c>
      <c r="C151" s="867">
        <v>164308171946.83539</v>
      </c>
      <c r="D151" s="867">
        <v>183939395923.51202</v>
      </c>
      <c r="E151" s="867">
        <v>152907357293.15619</v>
      </c>
      <c r="F151" s="867">
        <v>128859626986.74655</v>
      </c>
      <c r="G151" s="867">
        <v>119293133794.19496</v>
      </c>
      <c r="H151" s="867">
        <v>103897847413.54599</v>
      </c>
      <c r="I151" s="867">
        <v>86961925508.182129</v>
      </c>
      <c r="J151" s="867">
        <v>85695864946.091705</v>
      </c>
      <c r="K151" s="867">
        <v>88256073925.796021</v>
      </c>
      <c r="L151" s="867">
        <v>95344461902.084839</v>
      </c>
      <c r="M151" s="867">
        <v>116778111979.75816</v>
      </c>
      <c r="N151" s="867">
        <v>131335915472.95132</v>
      </c>
      <c r="O151" s="867">
        <v>136304139411.15376</v>
      </c>
      <c r="P151" s="867">
        <v>132151405582.78456</v>
      </c>
      <c r="Q151" s="867">
        <v>134327104601.47321</v>
      </c>
      <c r="R151" s="867">
        <v>142457681255.8045</v>
      </c>
      <c r="S151" s="867">
        <v>157743126866.8273</v>
      </c>
      <c r="T151" s="867">
        <v>164993858632.32272</v>
      </c>
      <c r="U151" s="867">
        <v>145772799590.39999</v>
      </c>
      <c r="V151" s="867">
        <v>160957062621.86667</v>
      </c>
      <c r="W151" s="867">
        <v>188441864874.66666</v>
      </c>
      <c r="X151" s="867">
        <v>183012268441.60001</v>
      </c>
      <c r="Y151" s="867">
        <v>188551196398.93332</v>
      </c>
      <c r="Z151" s="867">
        <v>214572800000</v>
      </c>
      <c r="AA151" s="867">
        <v>250338933333.33334</v>
      </c>
      <c r="AB151" s="867">
        <v>315580048570.89484</v>
      </c>
      <c r="AC151" s="867">
        <v>356630440587.44995</v>
      </c>
      <c r="AD151" s="867">
        <v>384891141942.36926</v>
      </c>
      <c r="AE151" s="867">
        <v>476304800000</v>
      </c>
      <c r="AF151" s="867">
        <v>375766400000</v>
      </c>
      <c r="AG151" s="867"/>
    </row>
    <row r="152" spans="1:33">
      <c r="A152" s="22">
        <v>433</v>
      </c>
      <c r="B152" s="22" t="s">
        <v>87</v>
      </c>
      <c r="C152" s="868">
        <v>3503275490.8462377</v>
      </c>
      <c r="D152" s="868">
        <v>3176788511.2237606</v>
      </c>
      <c r="E152" s="868">
        <v>3109547861.0328255</v>
      </c>
      <c r="F152" s="868">
        <v>2774170019.7261596</v>
      </c>
      <c r="G152" s="868">
        <v>2705515376.2370887</v>
      </c>
      <c r="H152" s="868">
        <v>2962219552.1005878</v>
      </c>
      <c r="I152" s="868">
        <v>4189931947.4889131</v>
      </c>
      <c r="J152" s="868">
        <v>5040650946.3625355</v>
      </c>
      <c r="K152" s="868">
        <v>4985122973.4778118</v>
      </c>
      <c r="L152" s="868">
        <v>4913038778.5261736</v>
      </c>
      <c r="M152" s="868">
        <v>5716744852.5046816</v>
      </c>
      <c r="N152" s="868">
        <v>5617174598.7081842</v>
      </c>
      <c r="O152" s="868">
        <v>6004926101.4652042</v>
      </c>
      <c r="P152" s="868">
        <v>5678880068.9626904</v>
      </c>
      <c r="Q152" s="868">
        <v>3877229737.0766578</v>
      </c>
      <c r="R152" s="868">
        <v>4879192244.8467236</v>
      </c>
      <c r="S152" s="868">
        <v>5065832118.5366039</v>
      </c>
      <c r="T152" s="868">
        <v>4672258968.0319271</v>
      </c>
      <c r="U152" s="868">
        <v>5058224886.7778664</v>
      </c>
      <c r="V152" s="868">
        <v>5150798886.5769777</v>
      </c>
      <c r="W152" s="868">
        <v>4691828356.9328022</v>
      </c>
      <c r="X152" s="868">
        <v>4877598732.4984522</v>
      </c>
      <c r="Y152" s="868">
        <v>5333863901.8126097</v>
      </c>
      <c r="Z152" s="868">
        <v>6871327280.4408407</v>
      </c>
      <c r="AA152" s="868">
        <v>8040528592.7379913</v>
      </c>
      <c r="AB152" s="868">
        <v>8702730297.5483532</v>
      </c>
      <c r="AC152" s="868">
        <v>9378279041.4549122</v>
      </c>
      <c r="AD152" s="868">
        <v>11334237876.89538</v>
      </c>
      <c r="AE152" s="868">
        <v>13210074065.467602</v>
      </c>
      <c r="AF152" s="868">
        <v>12790851243.838129</v>
      </c>
      <c r="AG152" s="868">
        <v>12954023882.262312</v>
      </c>
    </row>
    <row r="153" spans="1:33">
      <c r="A153" s="22">
        <v>591</v>
      </c>
      <c r="B153" s="22" t="s">
        <v>127</v>
      </c>
      <c r="C153" s="870">
        <v>147357222.75674874</v>
      </c>
      <c r="D153" s="870">
        <v>153889518.79042014</v>
      </c>
      <c r="E153" s="870">
        <v>147759494.79133284</v>
      </c>
      <c r="F153" s="870">
        <v>146712886.6192646</v>
      </c>
      <c r="G153" s="870">
        <v>151313170.5216274</v>
      </c>
      <c r="H153" s="870">
        <v>168887618.03841424</v>
      </c>
      <c r="I153" s="870">
        <v>207858774.54146898</v>
      </c>
      <c r="J153" s="870">
        <v>249267412.02247852</v>
      </c>
      <c r="K153" s="870">
        <v>283826531.46518016</v>
      </c>
      <c r="L153" s="870">
        <v>308375193.95223284</v>
      </c>
      <c r="M153" s="870">
        <v>368584758.94245726</v>
      </c>
      <c r="N153" s="870">
        <v>375018939.39393938</v>
      </c>
      <c r="O153" s="870">
        <v>433658727.05974227</v>
      </c>
      <c r="P153" s="870">
        <v>473914075.57227302</v>
      </c>
      <c r="Q153" s="870">
        <v>487009900.99009901</v>
      </c>
      <c r="R153" s="870">
        <v>508234503.54107279</v>
      </c>
      <c r="S153" s="870">
        <v>503060037.08932662</v>
      </c>
      <c r="T153" s="870">
        <v>562954169.78219712</v>
      </c>
      <c r="U153" s="870">
        <v>608358684.51516521</v>
      </c>
      <c r="V153" s="870">
        <v>622976165.07380331</v>
      </c>
      <c r="W153" s="870">
        <v>614879764.78000629</v>
      </c>
      <c r="X153" s="870">
        <v>622262057.19163465</v>
      </c>
      <c r="Y153" s="870">
        <v>697518248.17518246</v>
      </c>
      <c r="Z153" s="870">
        <v>705704816.04236495</v>
      </c>
      <c r="AA153" s="870">
        <v>699800000</v>
      </c>
      <c r="AB153" s="870">
        <v>883818181.81818187</v>
      </c>
      <c r="AC153" s="870">
        <v>967806221.35260975</v>
      </c>
      <c r="AD153" s="870">
        <v>1018952362.6814338</v>
      </c>
      <c r="AE153" s="870">
        <v>920991413.94916046</v>
      </c>
      <c r="AF153" s="870">
        <v>788102778.1247474</v>
      </c>
      <c r="AG153" s="870">
        <v>936609214.45144188</v>
      </c>
    </row>
    <row r="154" spans="1:33">
      <c r="A154" s="22">
        <v>451</v>
      </c>
      <c r="B154" s="22" t="s">
        <v>95</v>
      </c>
      <c r="C154" s="871">
        <v>1100685875.404839</v>
      </c>
      <c r="D154" s="871">
        <v>1114830499.5254939</v>
      </c>
      <c r="E154" s="871">
        <v>1295361911.7587695</v>
      </c>
      <c r="F154" s="871">
        <v>995104288.37391865</v>
      </c>
      <c r="G154" s="871">
        <v>1087471849.2400248</v>
      </c>
      <c r="H154" s="871">
        <v>856890497.05535924</v>
      </c>
      <c r="I154" s="871">
        <v>490181456.62440968</v>
      </c>
      <c r="J154" s="871">
        <v>701307601.90993357</v>
      </c>
      <c r="K154" s="871">
        <v>1055083946.1155194</v>
      </c>
      <c r="L154" s="871">
        <v>932974412.38526738</v>
      </c>
      <c r="M154" s="871">
        <v>649644826.80044734</v>
      </c>
      <c r="N154" s="871">
        <v>779995081.67031026</v>
      </c>
      <c r="O154" s="871">
        <v>680034040.84901881</v>
      </c>
      <c r="P154" s="871">
        <v>768817621.14537442</v>
      </c>
      <c r="Q154" s="871">
        <v>911912391.34140098</v>
      </c>
      <c r="R154" s="871">
        <v>870768008.47457623</v>
      </c>
      <c r="S154" s="871">
        <v>941753014.01107848</v>
      </c>
      <c r="T154" s="871">
        <v>850231278.65511966</v>
      </c>
      <c r="U154" s="871">
        <v>672381683.29496038</v>
      </c>
      <c r="V154" s="871">
        <v>669392528.54450727</v>
      </c>
      <c r="W154" s="871">
        <v>635876870.1304909</v>
      </c>
      <c r="X154" s="871">
        <v>805663721.26979327</v>
      </c>
      <c r="Y154" s="871">
        <v>935823725.58361125</v>
      </c>
      <c r="Z154" s="871">
        <v>991113463.09468031</v>
      </c>
      <c r="AA154" s="871">
        <v>1096030169.23015</v>
      </c>
      <c r="AB154" s="871">
        <v>1239397077.9306393</v>
      </c>
      <c r="AC154" s="871">
        <v>1422009797.5825188</v>
      </c>
      <c r="AD154" s="871">
        <v>1663712059.1446013</v>
      </c>
      <c r="AE154" s="871">
        <v>1954828246.015219</v>
      </c>
      <c r="AF154" s="871">
        <v>1856392961.876833</v>
      </c>
      <c r="AG154" s="871">
        <v>1905015045.1354063</v>
      </c>
    </row>
    <row r="155" spans="1:33">
      <c r="A155" s="22">
        <v>830</v>
      </c>
      <c r="B155" s="22" t="s">
        <v>173</v>
      </c>
      <c r="C155" s="872">
        <v>11730282910.61706</v>
      </c>
      <c r="D155" s="872">
        <v>13904548414.763401</v>
      </c>
      <c r="E155" s="872">
        <v>15292848490.412209</v>
      </c>
      <c r="F155" s="872">
        <v>17414637741.185772</v>
      </c>
      <c r="G155" s="872">
        <v>18824862288.549438</v>
      </c>
      <c r="H155" s="872">
        <v>17743165900.90414</v>
      </c>
      <c r="I155" s="872">
        <v>18007577787.133072</v>
      </c>
      <c r="J155" s="872">
        <v>20570913033.499794</v>
      </c>
      <c r="K155" s="872">
        <v>25421071592.730164</v>
      </c>
      <c r="L155" s="872">
        <v>30117035777.311554</v>
      </c>
      <c r="M155" s="872">
        <v>36842356922.171539</v>
      </c>
      <c r="N155" s="872">
        <v>43164597262.018463</v>
      </c>
      <c r="O155" s="872">
        <v>49715566105.301926</v>
      </c>
      <c r="P155" s="872">
        <v>58158487841.357445</v>
      </c>
      <c r="Q155" s="872">
        <v>70678698470.200546</v>
      </c>
      <c r="R155" s="872">
        <v>84290611054.602737</v>
      </c>
      <c r="S155" s="872">
        <v>92552421928.559601</v>
      </c>
      <c r="T155" s="872">
        <v>95866647958.467804</v>
      </c>
      <c r="U155" s="872">
        <v>82399430366.825836</v>
      </c>
      <c r="V155" s="872">
        <v>82610696480.722137</v>
      </c>
      <c r="W155" s="872">
        <v>92716858006.042297</v>
      </c>
      <c r="X155" s="872">
        <v>85654885654.885666</v>
      </c>
      <c r="Y155" s="872">
        <v>88331549308.884445</v>
      </c>
      <c r="Z155" s="872">
        <v>93206034573.475815</v>
      </c>
      <c r="AA155" s="872">
        <v>109663964976.63138</v>
      </c>
      <c r="AB155" s="872">
        <v>125417500225.28612</v>
      </c>
      <c r="AC155" s="872">
        <v>145331962742.3009</v>
      </c>
      <c r="AD155" s="872">
        <v>177328659187.29581</v>
      </c>
      <c r="AE155" s="872">
        <v>189384037996.69226</v>
      </c>
      <c r="AF155" s="872">
        <v>183332668733.80038</v>
      </c>
      <c r="AG155" s="872">
        <v>222698916766.28702</v>
      </c>
    </row>
    <row r="156" spans="1:33">
      <c r="A156" s="22">
        <v>60</v>
      </c>
      <c r="B156" s="22" t="s">
        <v>14</v>
      </c>
      <c r="C156" s="880">
        <v>47999999.152289443</v>
      </c>
      <c r="D156" s="880">
        <v>56555554.556748435</v>
      </c>
      <c r="E156" s="880">
        <v>59925924.867595918</v>
      </c>
      <c r="F156" s="880">
        <v>59666665.612915345</v>
      </c>
      <c r="G156" s="880">
        <v>70037035.800138369</v>
      </c>
      <c r="H156" s="880">
        <v>77999998.622470334</v>
      </c>
      <c r="I156" s="880">
        <v>94148146.48543191</v>
      </c>
      <c r="J156" s="880">
        <v>108185183.27456594</v>
      </c>
      <c r="K156" s="880">
        <v>126666664.42965269</v>
      </c>
      <c r="L156" s="880">
        <v>143259256.72920954</v>
      </c>
      <c r="M156" s="880">
        <v>159200364.59582755</v>
      </c>
      <c r="N156" s="880">
        <v>164574444.50091788</v>
      </c>
      <c r="O156" s="880">
        <v>181815558.27050292</v>
      </c>
      <c r="P156" s="880">
        <v>198341104.64531791</v>
      </c>
      <c r="Q156" s="880">
        <v>221740748.67650974</v>
      </c>
      <c r="R156" s="880">
        <v>230740736.66571236</v>
      </c>
      <c r="S156" s="880">
        <v>245555551.2188881</v>
      </c>
      <c r="T156" s="880">
        <v>275089909.07689506</v>
      </c>
      <c r="U156" s="880">
        <v>287324365.94958717</v>
      </c>
      <c r="V156" s="880">
        <v>305008729.1111033</v>
      </c>
      <c r="W156" s="880">
        <v>326203986.92653322</v>
      </c>
      <c r="X156" s="880">
        <v>342746455.58288234</v>
      </c>
      <c r="Y156" s="880">
        <v>351318063.99359626</v>
      </c>
      <c r="Z156" s="880">
        <v>362654126.53181183</v>
      </c>
      <c r="AA156" s="880">
        <v>399585548.49862027</v>
      </c>
      <c r="AB156" s="880">
        <v>438718510.77047014</v>
      </c>
      <c r="AC156" s="880">
        <v>487137028.43388683</v>
      </c>
      <c r="AD156" s="880">
        <v>513233324.26930588</v>
      </c>
      <c r="AE156" s="880">
        <v>570140740.74074066</v>
      </c>
      <c r="AF156" s="880">
        <v>526214814.81481481</v>
      </c>
      <c r="AG156" s="880">
        <v>526007407.40740734</v>
      </c>
    </row>
    <row r="157" spans="1:33">
      <c r="A157" s="22">
        <v>317</v>
      </c>
      <c r="B157" s="22" t="s">
        <v>52</v>
      </c>
      <c r="C157" s="873"/>
      <c r="D157" s="873"/>
      <c r="E157" s="873">
        <v>6106406925.5677948</v>
      </c>
      <c r="F157" s="873">
        <v>6130945238.933567</v>
      </c>
      <c r="G157" s="873">
        <v>5750481089.695817</v>
      </c>
      <c r="H157" s="873">
        <v>5827019554.192009</v>
      </c>
      <c r="I157" s="873">
        <v>7874148638.1400728</v>
      </c>
      <c r="J157" s="873">
        <v>9480149423.0783596</v>
      </c>
      <c r="K157" s="873">
        <v>10073854641.692133</v>
      </c>
      <c r="L157" s="873">
        <v>9769581997.9926338</v>
      </c>
      <c r="M157" s="873">
        <v>11716492829.99552</v>
      </c>
      <c r="N157" s="873">
        <v>13119169441.779207</v>
      </c>
      <c r="O157" s="873">
        <v>14271366595.744469</v>
      </c>
      <c r="P157" s="873">
        <v>16250533389.812603</v>
      </c>
      <c r="Q157" s="873">
        <v>19833225849.778976</v>
      </c>
      <c r="R157" s="873">
        <v>25240261437.908497</v>
      </c>
      <c r="S157" s="873">
        <v>27268441064.638783</v>
      </c>
      <c r="T157" s="873">
        <v>27021853404.327629</v>
      </c>
      <c r="U157" s="873">
        <v>29258362232.911957</v>
      </c>
      <c r="V157" s="873">
        <v>29924856168.761986</v>
      </c>
      <c r="W157" s="873">
        <v>28700755481.85001</v>
      </c>
      <c r="X157" s="873">
        <v>30295516778.523491</v>
      </c>
      <c r="Y157" s="873">
        <v>34613485789.572746</v>
      </c>
      <c r="Z157" s="873">
        <v>45804232505.643341</v>
      </c>
      <c r="AA157" s="873">
        <v>56032071020.610878</v>
      </c>
      <c r="AB157" s="873">
        <v>61285897276.458153</v>
      </c>
      <c r="AC157" s="873">
        <v>69057257558.650101</v>
      </c>
      <c r="AD157" s="873">
        <v>84241814946.619217</v>
      </c>
      <c r="AE157" s="873">
        <v>98463512523.802551</v>
      </c>
      <c r="AF157" s="873">
        <v>87641512385.919144</v>
      </c>
      <c r="AG157" s="873">
        <v>89034490066.225159</v>
      </c>
    </row>
    <row r="158" spans="1:33">
      <c r="A158" s="22">
        <v>56</v>
      </c>
      <c r="B158" s="22" t="s">
        <v>11</v>
      </c>
      <c r="C158" s="881">
        <v>133414812.45862424</v>
      </c>
      <c r="D158" s="881">
        <v>152244441.75571063</v>
      </c>
      <c r="E158" s="881">
        <v>143588880.42709187</v>
      </c>
      <c r="F158" s="881">
        <v>154503700.97506994</v>
      </c>
      <c r="G158" s="881">
        <v>197088885.40817362</v>
      </c>
      <c r="H158" s="881">
        <v>189166669.25178871</v>
      </c>
      <c r="I158" s="881">
        <v>225777773.79039848</v>
      </c>
      <c r="J158" s="881">
        <v>242385180.9045085</v>
      </c>
      <c r="K158" s="881">
        <v>273977784.79100746</v>
      </c>
      <c r="L158" s="881">
        <v>311511105.60962659</v>
      </c>
      <c r="M158" s="881">
        <v>397192573.72606689</v>
      </c>
      <c r="N158" s="881">
        <v>431470356.82440311</v>
      </c>
      <c r="O158" s="881">
        <v>477996270.07679993</v>
      </c>
      <c r="P158" s="881">
        <v>492029620.94007313</v>
      </c>
      <c r="Q158" s="881">
        <v>517566663.45203567</v>
      </c>
      <c r="R158" s="881">
        <v>560811083.42905235</v>
      </c>
      <c r="S158" s="881">
        <v>566370360.36790907</v>
      </c>
      <c r="T158" s="881">
        <v>604411088.58497441</v>
      </c>
      <c r="U158" s="881">
        <v>657529594.3135345</v>
      </c>
      <c r="V158" s="881">
        <v>692507395.17728567</v>
      </c>
      <c r="W158" s="881">
        <v>707525925.49653959</v>
      </c>
      <c r="X158" s="881">
        <v>687048136.01444042</v>
      </c>
      <c r="Y158" s="881">
        <v>705003691.25288939</v>
      </c>
      <c r="Z158" s="881">
        <v>738214801.77747118</v>
      </c>
      <c r="AA158" s="881">
        <v>799237022.92200208</v>
      </c>
      <c r="AB158" s="881">
        <v>858055540.40174818</v>
      </c>
      <c r="AC158" s="881">
        <v>930935634.94159627</v>
      </c>
      <c r="AD158" s="881">
        <v>957841412.22462344</v>
      </c>
      <c r="AE158" s="881">
        <v>986073137.02043653</v>
      </c>
      <c r="AF158" s="881">
        <v>954222222.22222221</v>
      </c>
      <c r="AG158" s="881">
        <v>931955555.55555546</v>
      </c>
    </row>
    <row r="159" spans="1:33">
      <c r="A159" s="22">
        <v>349</v>
      </c>
      <c r="B159" s="22" t="s">
        <v>61</v>
      </c>
      <c r="C159" s="874"/>
      <c r="D159" s="874"/>
      <c r="E159" s="874"/>
      <c r="F159" s="874"/>
      <c r="G159" s="874"/>
      <c r="H159" s="874"/>
      <c r="I159" s="874"/>
      <c r="J159" s="874"/>
      <c r="K159" s="874"/>
      <c r="L159" s="874"/>
      <c r="M159" s="874">
        <v>17381802758.348534</v>
      </c>
      <c r="N159" s="874">
        <v>12673485227.130867</v>
      </c>
      <c r="O159" s="874">
        <v>12522536278.50906</v>
      </c>
      <c r="P159" s="874">
        <v>12673039187.283653</v>
      </c>
      <c r="Q159" s="874">
        <v>14385505626.209148</v>
      </c>
      <c r="R159" s="874">
        <v>20814335344.490776</v>
      </c>
      <c r="S159" s="874">
        <v>21007770977.13493</v>
      </c>
      <c r="T159" s="874">
        <v>20271553550.47274</v>
      </c>
      <c r="U159" s="874">
        <v>21592759564.472805</v>
      </c>
      <c r="V159" s="874">
        <v>22157534732.849556</v>
      </c>
      <c r="W159" s="874">
        <v>19887999963.713669</v>
      </c>
      <c r="X159" s="874">
        <v>20389746601.524925</v>
      </c>
      <c r="Y159" s="874">
        <v>23070243206.118729</v>
      </c>
      <c r="Z159" s="874">
        <v>29058085346.598274</v>
      </c>
      <c r="AA159" s="874">
        <v>33724037046.538975</v>
      </c>
      <c r="AB159" s="874">
        <v>35751727924.710732</v>
      </c>
      <c r="AC159" s="874">
        <v>38951918416.450203</v>
      </c>
      <c r="AD159" s="874">
        <v>47314863049.639748</v>
      </c>
      <c r="AE159" s="874">
        <v>54642842411.015091</v>
      </c>
      <c r="AF159" s="874">
        <v>49158599387.329811</v>
      </c>
      <c r="AG159" s="874">
        <v>47762955727.152321</v>
      </c>
    </row>
    <row r="160" spans="1:33" s="534" customFormat="1">
      <c r="A160" s="22">
        <v>331</v>
      </c>
      <c r="B160" s="22" t="s">
        <v>54</v>
      </c>
      <c r="C160" s="865"/>
      <c r="D160" s="865"/>
      <c r="E160" s="865"/>
      <c r="F160" s="865"/>
      <c r="G160" s="865"/>
      <c r="H160" s="865"/>
      <c r="I160" s="865"/>
      <c r="J160" s="865"/>
      <c r="K160" s="865"/>
      <c r="L160" s="865"/>
      <c r="M160" s="865"/>
      <c r="N160" s="865"/>
      <c r="O160" s="865"/>
      <c r="P160" s="865"/>
      <c r="Q160" s="865"/>
      <c r="R160" s="865"/>
      <c r="S160" s="865"/>
      <c r="T160" s="865"/>
      <c r="U160" s="865"/>
      <c r="V160" s="865">
        <v>853373879.73181939</v>
      </c>
      <c r="W160" s="865">
        <v>773907642.41474771</v>
      </c>
      <c r="X160" s="865">
        <v>815205233.06279135</v>
      </c>
      <c r="Y160" s="865">
        <v>879957209.92390692</v>
      </c>
      <c r="Z160" s="865">
        <v>1122981525.3550227</v>
      </c>
      <c r="AA160" s="865">
        <v>1317357834.6163397</v>
      </c>
      <c r="AB160" s="865">
        <v>1375416604.4868927</v>
      </c>
      <c r="AC160" s="865">
        <v>1469075398.3189061</v>
      </c>
      <c r="AD160" s="865">
        <v>1687653983.0276484</v>
      </c>
      <c r="AE160" s="865">
        <v>1899809579.6103706</v>
      </c>
      <c r="AF160" s="865"/>
      <c r="AG160" s="865"/>
    </row>
    <row r="161" spans="1:33">
      <c r="A161" s="22">
        <v>940</v>
      </c>
      <c r="B161" s="22" t="s">
        <v>181</v>
      </c>
      <c r="C161" s="875">
        <v>168715353.09713185</v>
      </c>
      <c r="D161" s="875">
        <v>187313261.31923696</v>
      </c>
      <c r="E161" s="875">
        <v>188446092.06054989</v>
      </c>
      <c r="F161" s="875">
        <v>180219397.52742469</v>
      </c>
      <c r="G161" s="875">
        <v>252806783.3869828</v>
      </c>
      <c r="H161" s="875">
        <v>232306861.15613183</v>
      </c>
      <c r="I161" s="875">
        <v>210737869.65259832</v>
      </c>
      <c r="J161" s="875">
        <v>238606299.60565069</v>
      </c>
      <c r="K161" s="875">
        <v>310684273.7094838</v>
      </c>
      <c r="L161" s="875">
        <v>332286760.8581894</v>
      </c>
      <c r="M161" s="875">
        <v>302515026.89022464</v>
      </c>
      <c r="N161" s="875">
        <v>320355090.61440992</v>
      </c>
      <c r="O161" s="875">
        <v>378778047.19784158</v>
      </c>
      <c r="P161" s="875">
        <v>410923236.18910187</v>
      </c>
      <c r="Q161" s="875">
        <v>464756638.51248711</v>
      </c>
      <c r="R161" s="875">
        <v>519334096.71452481</v>
      </c>
      <c r="S161" s="875">
        <v>565163750.56078959</v>
      </c>
      <c r="T161" s="875">
        <v>567919502.81148267</v>
      </c>
      <c r="U161" s="875">
        <v>471177008.05714762</v>
      </c>
      <c r="V161" s="875">
        <v>482214092.30896425</v>
      </c>
      <c r="W161" s="875">
        <v>435101217.23341721</v>
      </c>
      <c r="X161" s="875">
        <v>400464593.02551943</v>
      </c>
      <c r="Y161" s="875">
        <v>341663053.74746823</v>
      </c>
      <c r="Z161" s="875">
        <v>332736306.53924853</v>
      </c>
      <c r="AA161" s="875">
        <v>375109694.52592087</v>
      </c>
      <c r="AB161" s="875">
        <v>413909879.28126538</v>
      </c>
      <c r="AC161" s="875">
        <v>456735444.86791962</v>
      </c>
      <c r="AD161" s="875">
        <v>586218381.04473639</v>
      </c>
      <c r="AE161" s="875">
        <v>645796657.49939466</v>
      </c>
      <c r="AF161" s="875">
        <v>601299089.75392115</v>
      </c>
      <c r="AG161" s="875">
        <v>678625481.68675172</v>
      </c>
    </row>
    <row r="162" spans="1:33">
      <c r="A162" s="22">
        <v>520</v>
      </c>
      <c r="B162" s="22" t="s">
        <v>110</v>
      </c>
      <c r="C162" s="876">
        <v>603592653.942155</v>
      </c>
      <c r="D162" s="876">
        <v>699112246.54228354</v>
      </c>
      <c r="E162" s="876">
        <v>774419565.92607141</v>
      </c>
      <c r="F162" s="876">
        <v>733901342.02308095</v>
      </c>
      <c r="G162" s="876">
        <v>788307226.82736731</v>
      </c>
      <c r="H162" s="876">
        <v>876404614.97334003</v>
      </c>
      <c r="I162" s="876">
        <v>930318731.62226212</v>
      </c>
      <c r="J162" s="876">
        <v>1009792742.9116424</v>
      </c>
      <c r="K162" s="876">
        <v>1038291312.3090835</v>
      </c>
      <c r="L162" s="876">
        <v>1092393020.4793944</v>
      </c>
      <c r="M162" s="876">
        <v>917044253.99025702</v>
      </c>
      <c r="N162" s="876"/>
      <c r="O162" s="876"/>
      <c r="P162" s="876"/>
      <c r="Q162" s="876"/>
      <c r="R162" s="876"/>
      <c r="S162" s="876"/>
      <c r="T162" s="876"/>
      <c r="U162" s="876"/>
      <c r="V162" s="876"/>
      <c r="W162" s="876"/>
      <c r="X162" s="876"/>
      <c r="Y162" s="876"/>
      <c r="Z162" s="876"/>
      <c r="AA162" s="876"/>
      <c r="AB162" s="876"/>
      <c r="AC162" s="876"/>
      <c r="AD162" s="876"/>
      <c r="AE162" s="876"/>
      <c r="AF162" s="876"/>
      <c r="AG162" s="876"/>
    </row>
    <row r="163" spans="1:33">
      <c r="A163" s="22">
        <v>230</v>
      </c>
      <c r="B163" s="22" t="s">
        <v>44</v>
      </c>
      <c r="C163" s="878">
        <v>226003471826.40985</v>
      </c>
      <c r="D163" s="878">
        <v>196915036583.16815</v>
      </c>
      <c r="E163" s="878">
        <v>190301806300.1666</v>
      </c>
      <c r="F163" s="878">
        <v>165983970533.6427</v>
      </c>
      <c r="G163" s="878">
        <v>167102230801.07639</v>
      </c>
      <c r="H163" s="878">
        <v>175540268395.30331</v>
      </c>
      <c r="I163" s="878">
        <v>244018605203.7543</v>
      </c>
      <c r="J163" s="878">
        <v>309486288909.8504</v>
      </c>
      <c r="K163" s="878">
        <v>365230566633.33813</v>
      </c>
      <c r="L163" s="878">
        <v>402705736191.14545</v>
      </c>
      <c r="M163" s="878">
        <v>520968164871.04144</v>
      </c>
      <c r="N163" s="878">
        <v>560395839551.64124</v>
      </c>
      <c r="O163" s="878">
        <v>612583910450.18689</v>
      </c>
      <c r="P163" s="878">
        <v>509818861681.2655</v>
      </c>
      <c r="Q163" s="878">
        <v>515146428393.98828</v>
      </c>
      <c r="R163" s="878">
        <v>596750733920.46973</v>
      </c>
      <c r="S163" s="878">
        <v>622428740312.62317</v>
      </c>
      <c r="T163" s="878">
        <v>572637500000</v>
      </c>
      <c r="U163" s="878">
        <v>600838623454.72766</v>
      </c>
      <c r="V163" s="878">
        <v>617879821010.01489</v>
      </c>
      <c r="W163" s="878">
        <v>580673484429.70337</v>
      </c>
      <c r="X163" s="878">
        <v>609107829977.62866</v>
      </c>
      <c r="Y163" s="878">
        <v>686246941464.33276</v>
      </c>
      <c r="Z163" s="878">
        <v>883667042889.3905</v>
      </c>
      <c r="AA163" s="878">
        <v>1044299168699.9062</v>
      </c>
      <c r="AB163" s="878">
        <v>1130169626423.917</v>
      </c>
      <c r="AC163" s="878">
        <v>1234767751251.0334</v>
      </c>
      <c r="AD163" s="878">
        <v>1441941152800.7029</v>
      </c>
      <c r="AE163" s="878">
        <v>1593912183689.1638</v>
      </c>
      <c r="AF163" s="878">
        <v>1464088697118.6772</v>
      </c>
      <c r="AG163" s="878">
        <v>1407405298013.2451</v>
      </c>
    </row>
    <row r="164" spans="1:33">
      <c r="A164" s="22">
        <v>780</v>
      </c>
      <c r="B164" s="22" t="s">
        <v>165</v>
      </c>
      <c r="C164" s="879">
        <v>4024621899.5765271</v>
      </c>
      <c r="D164" s="879">
        <v>4415844155.8441563</v>
      </c>
      <c r="E164" s="879">
        <v>4768765016.8188372</v>
      </c>
      <c r="F164" s="879">
        <v>5167913302.1674452</v>
      </c>
      <c r="G164" s="879">
        <v>6043474842.7672949</v>
      </c>
      <c r="H164" s="879">
        <v>5978460972.0176735</v>
      </c>
      <c r="I164" s="879">
        <v>6405210563.8829412</v>
      </c>
      <c r="J164" s="879">
        <v>6682167119.565217</v>
      </c>
      <c r="K164" s="879">
        <v>6978371581.2637539</v>
      </c>
      <c r="L164" s="879">
        <v>6987267683.7725391</v>
      </c>
      <c r="M164" s="879">
        <v>8032551173.240139</v>
      </c>
      <c r="N164" s="879">
        <v>9000362581.5808563</v>
      </c>
      <c r="O164" s="879">
        <v>9703011635.8658466</v>
      </c>
      <c r="P164" s="879">
        <v>10338679635.761589</v>
      </c>
      <c r="Q164" s="879">
        <v>11717604208.822338</v>
      </c>
      <c r="R164" s="879">
        <v>13029697560.975609</v>
      </c>
      <c r="S164" s="879">
        <v>13897738375.248777</v>
      </c>
      <c r="T164" s="879">
        <v>15091930835.734869</v>
      </c>
      <c r="U164" s="879">
        <v>15794972847.168346</v>
      </c>
      <c r="V164" s="879">
        <v>15656342015.85504</v>
      </c>
      <c r="W164" s="879">
        <v>16330810303.915817</v>
      </c>
      <c r="X164" s="879">
        <v>15746224409.79991</v>
      </c>
      <c r="Y164" s="879">
        <v>17102623876.22831</v>
      </c>
      <c r="Z164" s="879">
        <v>18881765437.215084</v>
      </c>
      <c r="AA164" s="879">
        <v>20662525941.29855</v>
      </c>
      <c r="AB164" s="879">
        <v>24405791044.776119</v>
      </c>
      <c r="AC164" s="879">
        <v>28267410542.516354</v>
      </c>
      <c r="AD164" s="879">
        <v>32351184234.315674</v>
      </c>
      <c r="AE164" s="879">
        <v>40715249699.990768</v>
      </c>
      <c r="AF164" s="879">
        <v>42067965895.249695</v>
      </c>
      <c r="AG164" s="879">
        <v>49551751282.50486</v>
      </c>
    </row>
    <row r="165" spans="1:33">
      <c r="A165" s="22">
        <v>403</v>
      </c>
      <c r="B165" s="22" t="s">
        <v>82</v>
      </c>
      <c r="C165" s="866"/>
      <c r="D165" s="866"/>
      <c r="E165" s="866"/>
      <c r="F165" s="866"/>
      <c r="G165" s="866"/>
      <c r="H165" s="866"/>
      <c r="I165" s="866"/>
      <c r="J165" s="866"/>
      <c r="K165" s="866"/>
      <c r="L165" s="866"/>
      <c r="M165" s="866"/>
      <c r="N165" s="866"/>
      <c r="O165" s="866"/>
      <c r="P165" s="866"/>
      <c r="Q165" s="866"/>
      <c r="R165" s="866"/>
      <c r="S165" s="866"/>
      <c r="T165" s="866"/>
      <c r="U165" s="866"/>
      <c r="V165" s="866"/>
      <c r="W165" s="866"/>
      <c r="X165" s="866">
        <v>76460459.604321033</v>
      </c>
      <c r="Y165" s="866">
        <v>90713554.539076746</v>
      </c>
      <c r="Z165" s="866">
        <v>97993841.015752077</v>
      </c>
      <c r="AA165" s="866">
        <v>106764516.41057579</v>
      </c>
      <c r="AB165" s="866">
        <v>113808429.62682326</v>
      </c>
      <c r="AC165" s="866">
        <v>124185330.70894544</v>
      </c>
      <c r="AD165" s="866">
        <v>143497348.60704768</v>
      </c>
      <c r="AE165" s="866">
        <v>170904224.75275588</v>
      </c>
      <c r="AF165" s="866">
        <v>189961808.2726987</v>
      </c>
      <c r="AG165" s="866">
        <v>196806609.56899652</v>
      </c>
    </row>
    <row r="166" spans="1:33">
      <c r="A166" s="22">
        <v>625</v>
      </c>
      <c r="B166" s="22" t="s">
        <v>132</v>
      </c>
      <c r="C166" s="883">
        <v>7617171645.2615871</v>
      </c>
      <c r="D166" s="883">
        <v>9538009463.3331032</v>
      </c>
      <c r="E166" s="883">
        <v>9254390431.4789066</v>
      </c>
      <c r="F166" s="883">
        <v>8465262541.3618374</v>
      </c>
      <c r="G166" s="883">
        <v>10044297796.191851</v>
      </c>
      <c r="H166" s="883">
        <v>12459352088.119349</v>
      </c>
      <c r="I166" s="883">
        <v>15966649370.383739</v>
      </c>
      <c r="J166" s="883">
        <v>20631192466.329906</v>
      </c>
      <c r="K166" s="883">
        <v>15510324099.082573</v>
      </c>
      <c r="L166" s="883">
        <v>15295634989.328106</v>
      </c>
      <c r="M166" s="883">
        <v>12408648108.317297</v>
      </c>
      <c r="N166" s="883">
        <v>11379222223.3522</v>
      </c>
      <c r="O166" s="883">
        <v>7031931224.0022573</v>
      </c>
      <c r="P166" s="883">
        <v>8881004944.188406</v>
      </c>
      <c r="Q166" s="883">
        <v>12793795322.424742</v>
      </c>
      <c r="R166" s="883">
        <v>13830459816.294128</v>
      </c>
      <c r="S166" s="883">
        <v>9018315170.6873646</v>
      </c>
      <c r="T166" s="883">
        <v>11681198236.13973</v>
      </c>
      <c r="U166" s="883">
        <v>11250216339.067057</v>
      </c>
      <c r="V166" s="883">
        <v>10682045000.354019</v>
      </c>
      <c r="W166" s="883">
        <v>12366140065.799974</v>
      </c>
      <c r="X166" s="883">
        <v>13362328043.007923</v>
      </c>
      <c r="Y166" s="883">
        <v>14975626178.222057</v>
      </c>
      <c r="Z166" s="883">
        <v>17780302166.588802</v>
      </c>
      <c r="AA166" s="883">
        <v>21684761535.478867</v>
      </c>
      <c r="AB166" s="883">
        <v>27386699507.389164</v>
      </c>
      <c r="AC166" s="883">
        <v>36393186003.683235</v>
      </c>
      <c r="AD166" s="883">
        <v>46533234126.984123</v>
      </c>
      <c r="AE166" s="883">
        <v>58032057416.267944</v>
      </c>
      <c r="AF166" s="883">
        <v>54633362293.657684</v>
      </c>
      <c r="AG166" s="883">
        <v>62045783132.530113</v>
      </c>
    </row>
    <row r="167" spans="1:33">
      <c r="A167" s="22">
        <v>115</v>
      </c>
      <c r="B167" s="22" t="s">
        <v>26</v>
      </c>
      <c r="C167" s="884">
        <v>890644202.00620377</v>
      </c>
      <c r="D167" s="884">
        <v>996134469.81006396</v>
      </c>
      <c r="E167" s="884">
        <v>1025378167.7596086</v>
      </c>
      <c r="F167" s="884">
        <v>990028027.13477588</v>
      </c>
      <c r="G167" s="884">
        <v>968235309.69728005</v>
      </c>
      <c r="H167" s="884">
        <v>978431388.29271507</v>
      </c>
      <c r="I167" s="884">
        <v>998319343.79480004</v>
      </c>
      <c r="J167" s="884">
        <v>1097871166.1249549</v>
      </c>
      <c r="K167" s="884">
        <v>1300728312.2462215</v>
      </c>
      <c r="L167" s="884">
        <v>551341439.83645022</v>
      </c>
      <c r="M167" s="884">
        <v>399075061.88720441</v>
      </c>
      <c r="N167" s="884">
        <v>438220953.15656561</v>
      </c>
      <c r="O167" s="884">
        <v>404600009.04351425</v>
      </c>
      <c r="P167" s="884">
        <v>435194019.01032311</v>
      </c>
      <c r="Q167" s="884">
        <v>604950779.56158972</v>
      </c>
      <c r="R167" s="884">
        <v>693609699.88060021</v>
      </c>
      <c r="S167" s="884">
        <v>859987492.55911469</v>
      </c>
      <c r="T167" s="884">
        <v>929607506.14776981</v>
      </c>
      <c r="U167" s="884">
        <v>944999985.9184041</v>
      </c>
      <c r="V167" s="884">
        <v>885444152.71351111</v>
      </c>
      <c r="W167" s="884">
        <v>892164328.18493664</v>
      </c>
      <c r="X167" s="884">
        <v>763465547.26292562</v>
      </c>
      <c r="Y167" s="884">
        <v>1078402171.4231675</v>
      </c>
      <c r="Z167" s="884">
        <v>1271049474.7031863</v>
      </c>
      <c r="AA167" s="884">
        <v>1484318751.3337212</v>
      </c>
      <c r="AB167" s="884">
        <v>1793410616.2294059</v>
      </c>
      <c r="AC167" s="884">
        <v>2132482915.71754</v>
      </c>
      <c r="AD167" s="884">
        <v>2419307832.4225864</v>
      </c>
      <c r="AE167" s="884">
        <v>3065318761.3843346</v>
      </c>
      <c r="AF167" s="884">
        <v>3251876138.4335155</v>
      </c>
      <c r="AG167" s="884"/>
    </row>
    <row r="168" spans="1:33">
      <c r="A168" s="22">
        <v>57</v>
      </c>
      <c r="B168" s="22" t="s">
        <v>12</v>
      </c>
      <c r="C168" s="882">
        <v>60307406.342340201</v>
      </c>
      <c r="D168" s="882">
        <v>74799998.678984374</v>
      </c>
      <c r="E168" s="882">
        <v>85448146.639079452</v>
      </c>
      <c r="F168" s="882">
        <v>94044442.78355968</v>
      </c>
      <c r="G168" s="882">
        <v>103499992.24619828</v>
      </c>
      <c r="H168" s="882">
        <v>112881479.48792265</v>
      </c>
      <c r="I168" s="882">
        <v>127974065.88804463</v>
      </c>
      <c r="J168" s="882">
        <v>142329621.19007194</v>
      </c>
      <c r="K168" s="882">
        <v>164574077.09351698</v>
      </c>
      <c r="L168" s="882">
        <v>177296293.16513082</v>
      </c>
      <c r="M168" s="882">
        <v>198207403.9069384</v>
      </c>
      <c r="N168" s="882">
        <v>212492582.9139123</v>
      </c>
      <c r="O168" s="882">
        <v>233188878.84469882</v>
      </c>
      <c r="P168" s="882">
        <v>238774063.9312461</v>
      </c>
      <c r="Q168" s="882">
        <v>243255557.18543339</v>
      </c>
      <c r="R168" s="882">
        <v>266481488.6271005</v>
      </c>
      <c r="S168" s="882">
        <v>281518501.69487059</v>
      </c>
      <c r="T168" s="882">
        <v>293070365.19456106</v>
      </c>
      <c r="U168" s="882">
        <v>317851822.53468251</v>
      </c>
      <c r="V168" s="882">
        <v>331866660.80569005</v>
      </c>
      <c r="W168" s="882">
        <v>339014808.82759732</v>
      </c>
      <c r="X168" s="882">
        <v>349459253.08758628</v>
      </c>
      <c r="Y168" s="882">
        <v>370055549.02013886</v>
      </c>
      <c r="Z168" s="882">
        <v>386954849.83279753</v>
      </c>
      <c r="AA168" s="882">
        <v>420633353.08575445</v>
      </c>
      <c r="AB168" s="882">
        <v>445566734.41120332</v>
      </c>
      <c r="AC168" s="882">
        <v>497902361.57709754</v>
      </c>
      <c r="AD168" s="882">
        <v>555281481.48148143</v>
      </c>
      <c r="AE168" s="882">
        <v>583870370.37037039</v>
      </c>
      <c r="AF168" s="882">
        <v>585381481.48148143</v>
      </c>
      <c r="AG168" s="882">
        <v>561611111.11111104</v>
      </c>
    </row>
    <row r="169" spans="1:33">
      <c r="A169" s="22">
        <v>572</v>
      </c>
      <c r="B169" s="22" t="s">
        <v>123</v>
      </c>
      <c r="C169" s="885">
        <v>542580227.03682029</v>
      </c>
      <c r="D169" s="885">
        <v>575584182.41804421</v>
      </c>
      <c r="E169" s="885">
        <v>539630625.88396227</v>
      </c>
      <c r="F169" s="885">
        <v>556273172.6041162</v>
      </c>
      <c r="G169" s="885">
        <v>507294315.37083507</v>
      </c>
      <c r="H169" s="885">
        <v>367384477.81754982</v>
      </c>
      <c r="I169" s="885">
        <v>452393040.38594711</v>
      </c>
      <c r="J169" s="885">
        <v>584422016.28605556</v>
      </c>
      <c r="K169" s="885">
        <v>695870589.16885126</v>
      </c>
      <c r="L169" s="885">
        <v>698585171.53607893</v>
      </c>
      <c r="M169" s="885">
        <v>1114982000.261724</v>
      </c>
      <c r="N169" s="885">
        <v>1158222660.1752605</v>
      </c>
      <c r="O169" s="885">
        <v>1285751428.0967696</v>
      </c>
      <c r="P169" s="885">
        <v>1358867201.7795141</v>
      </c>
      <c r="Q169" s="885">
        <v>1420166988.7942767</v>
      </c>
      <c r="R169" s="885">
        <v>1698967931.4322555</v>
      </c>
      <c r="S169" s="885">
        <v>1613812745.5759876</v>
      </c>
      <c r="T169" s="885">
        <v>1718172156.4343071</v>
      </c>
      <c r="U169" s="885">
        <v>1562195983.7478669</v>
      </c>
      <c r="V169" s="885">
        <v>1534888918.3945889</v>
      </c>
      <c r="W169" s="885">
        <v>1489618181.4190824</v>
      </c>
      <c r="X169" s="885">
        <v>1290582262.020345</v>
      </c>
      <c r="Y169" s="885">
        <v>1174110115.5795767</v>
      </c>
      <c r="Z169" s="885">
        <v>1795877962.8505018</v>
      </c>
      <c r="AA169" s="885">
        <v>2281533677.2022004</v>
      </c>
      <c r="AB169" s="885">
        <v>2523979485.945488</v>
      </c>
      <c r="AC169" s="885">
        <v>2669670497.7896409</v>
      </c>
      <c r="AD169" s="885">
        <v>2949751596.8772178</v>
      </c>
      <c r="AE169" s="885">
        <v>2836875998.6442647</v>
      </c>
      <c r="AF169" s="885">
        <v>2936025585.0454941</v>
      </c>
      <c r="AG169" s="885">
        <v>3645267040.0218549</v>
      </c>
    </row>
    <row r="170" spans="1:33">
      <c r="A170" s="22">
        <v>380</v>
      </c>
      <c r="B170" s="22" t="s">
        <v>77</v>
      </c>
      <c r="C170" s="886">
        <v>132134971436.30605</v>
      </c>
      <c r="D170" s="886">
        <v>120596949253.07106</v>
      </c>
      <c r="E170" s="886">
        <v>106329749886.1936</v>
      </c>
      <c r="F170" s="886">
        <v>97745366614.756561</v>
      </c>
      <c r="G170" s="886">
        <v>101609733244.5175</v>
      </c>
      <c r="H170" s="886">
        <v>106376857775.3112</v>
      </c>
      <c r="I170" s="886">
        <v>140790611586.69775</v>
      </c>
      <c r="J170" s="886">
        <v>171607073670.90405</v>
      </c>
      <c r="K170" s="886">
        <v>193880820368.52069</v>
      </c>
      <c r="L170" s="886">
        <v>204448148295.1496</v>
      </c>
      <c r="M170" s="886">
        <v>244544875554.33533</v>
      </c>
      <c r="N170" s="886">
        <v>257902646742.62091</v>
      </c>
      <c r="O170" s="886">
        <v>267172776556.88724</v>
      </c>
      <c r="P170" s="886">
        <v>202037798391.44846</v>
      </c>
      <c r="Q170" s="886">
        <v>217546397096.94141</v>
      </c>
      <c r="R170" s="886">
        <v>253679923737.9614</v>
      </c>
      <c r="S170" s="886">
        <v>276456158663.88306</v>
      </c>
      <c r="T170" s="886">
        <v>253177906717.83521</v>
      </c>
      <c r="U170" s="886">
        <v>254723204065.45993</v>
      </c>
      <c r="V170" s="886">
        <v>258813540859.79861</v>
      </c>
      <c r="W170" s="886">
        <v>247260155857.7634</v>
      </c>
      <c r="X170" s="886">
        <v>227359498891.48135</v>
      </c>
      <c r="Y170" s="886">
        <v>250960758336.67108</v>
      </c>
      <c r="Z170" s="886">
        <v>314713404152.70276</v>
      </c>
      <c r="AA170" s="886">
        <v>362089648912.96509</v>
      </c>
      <c r="AB170" s="886">
        <v>370579639747.4137</v>
      </c>
      <c r="AC170" s="886">
        <v>399075661572.86615</v>
      </c>
      <c r="AD170" s="886">
        <v>462512853670.12042</v>
      </c>
      <c r="AE170" s="886">
        <v>486158607819.63556</v>
      </c>
      <c r="AF170" s="886">
        <v>403612967119.68665</v>
      </c>
      <c r="AG170" s="886">
        <v>458003597858.40466</v>
      </c>
    </row>
    <row r="171" spans="1:33">
      <c r="A171" s="22">
        <v>225</v>
      </c>
      <c r="B171" s="22" t="s">
        <v>43</v>
      </c>
      <c r="C171" s="887">
        <v>109852647178.49257</v>
      </c>
      <c r="D171" s="887">
        <v>100608729753.08014</v>
      </c>
      <c r="E171" s="887">
        <v>103117171972.12234</v>
      </c>
      <c r="F171" s="887">
        <v>102750565265.11362</v>
      </c>
      <c r="G171" s="887">
        <v>98108414761.458908</v>
      </c>
      <c r="H171" s="887">
        <v>99475324411.704849</v>
      </c>
      <c r="I171" s="887">
        <v>142597555517.81644</v>
      </c>
      <c r="J171" s="887">
        <v>178582145126.07294</v>
      </c>
      <c r="K171" s="887">
        <v>193196187848.69815</v>
      </c>
      <c r="L171" s="887">
        <v>186532150378.38501</v>
      </c>
      <c r="M171" s="887">
        <v>238212677230.7803</v>
      </c>
      <c r="N171" s="887">
        <v>241001802286.6109</v>
      </c>
      <c r="O171" s="887">
        <v>250982186821.93146</v>
      </c>
      <c r="P171" s="887">
        <v>244089818241.74338</v>
      </c>
      <c r="Q171" s="887">
        <v>270221089418.00104</v>
      </c>
      <c r="R171" s="887">
        <v>315939881871.45874</v>
      </c>
      <c r="S171" s="887">
        <v>304751566124.59546</v>
      </c>
      <c r="T171" s="887">
        <v>264584062461.93066</v>
      </c>
      <c r="U171" s="887">
        <v>272632435331.7699</v>
      </c>
      <c r="V171" s="887">
        <v>268211560893.35641</v>
      </c>
      <c r="W171" s="887">
        <v>249918732454.99762</v>
      </c>
      <c r="X171" s="887">
        <v>254989746186.89264</v>
      </c>
      <c r="Y171" s="887">
        <v>278620794936.48145</v>
      </c>
      <c r="Z171" s="887">
        <v>325039777288.18591</v>
      </c>
      <c r="AA171" s="887">
        <v>362990618832.32806</v>
      </c>
      <c r="AB171" s="887">
        <v>372475755389.58221</v>
      </c>
      <c r="AC171" s="887">
        <v>391233703828.23962</v>
      </c>
      <c r="AD171" s="887">
        <v>434116631636.91199</v>
      </c>
      <c r="AE171" s="887">
        <v>502447278285.27631</v>
      </c>
      <c r="AF171" s="887">
        <v>491924171371.33093</v>
      </c>
      <c r="AG171" s="887">
        <v>523772140978.63995</v>
      </c>
    </row>
    <row r="172" spans="1:33">
      <c r="A172" s="22">
        <v>652</v>
      </c>
      <c r="B172" s="22" t="s">
        <v>137</v>
      </c>
      <c r="C172" s="888">
        <v>13062421027.933975</v>
      </c>
      <c r="D172" s="888">
        <v>15518199245.364265</v>
      </c>
      <c r="E172" s="888">
        <v>16298905403.305431</v>
      </c>
      <c r="F172" s="888">
        <v>17589184545.65675</v>
      </c>
      <c r="G172" s="888">
        <v>17503082976.915249</v>
      </c>
      <c r="H172" s="888">
        <v>16403544516.919662</v>
      </c>
      <c r="I172" s="888">
        <v>13293209274.211945</v>
      </c>
      <c r="J172" s="888">
        <v>11356215714.351358</v>
      </c>
      <c r="K172" s="888">
        <v>10577042354.058859</v>
      </c>
      <c r="L172" s="888">
        <v>9853396224.9112282</v>
      </c>
      <c r="M172" s="888">
        <v>12308624283.978674</v>
      </c>
      <c r="N172" s="888">
        <v>12981833333.333334</v>
      </c>
      <c r="O172" s="888">
        <v>13253565901.06983</v>
      </c>
      <c r="P172" s="888">
        <v>13695962017.18066</v>
      </c>
      <c r="Q172" s="888">
        <v>10122020000</v>
      </c>
      <c r="R172" s="888">
        <v>11396706586.826347</v>
      </c>
      <c r="S172" s="888">
        <v>13789560878.243513</v>
      </c>
      <c r="T172" s="888">
        <v>14505233969.805449</v>
      </c>
      <c r="U172" s="888">
        <v>15200846139.076923</v>
      </c>
      <c r="V172" s="888">
        <v>15873875968.992249</v>
      </c>
      <c r="W172" s="888">
        <v>19325894913.125393</v>
      </c>
      <c r="X172" s="888">
        <v>21099833783.50301</v>
      </c>
      <c r="Y172" s="888">
        <v>21582248881.65921</v>
      </c>
      <c r="Z172" s="888">
        <v>22396829912.619385</v>
      </c>
      <c r="AA172" s="888">
        <v>25012613861.386139</v>
      </c>
      <c r="AB172" s="888">
        <v>28859003831.417622</v>
      </c>
      <c r="AC172" s="888">
        <v>33332825024.437935</v>
      </c>
      <c r="AD172" s="888">
        <v>40404985983.17981</v>
      </c>
      <c r="AE172" s="888">
        <v>52581935483.870956</v>
      </c>
      <c r="AF172" s="888">
        <v>53934534350.506989</v>
      </c>
      <c r="AG172" s="888">
        <v>59102566137.520935</v>
      </c>
    </row>
    <row r="173" spans="1:33">
      <c r="A173" s="22">
        <v>702</v>
      </c>
      <c r="B173" s="22" t="s">
        <v>150</v>
      </c>
      <c r="C173" s="889"/>
      <c r="D173" s="889"/>
      <c r="E173" s="889"/>
      <c r="F173" s="889"/>
      <c r="G173" s="889"/>
      <c r="H173" s="889"/>
      <c r="I173" s="889"/>
      <c r="J173" s="889"/>
      <c r="K173" s="889"/>
      <c r="L173" s="889"/>
      <c r="M173" s="889">
        <v>2629395066.2701721</v>
      </c>
      <c r="N173" s="889">
        <v>2535545389.3564572</v>
      </c>
      <c r="O173" s="889">
        <v>1909246640.8083768</v>
      </c>
      <c r="P173" s="889">
        <v>1646693875.0039411</v>
      </c>
      <c r="Q173" s="889">
        <v>1346074460.7830276</v>
      </c>
      <c r="R173" s="889">
        <v>1231523105.3608885</v>
      </c>
      <c r="S173" s="889">
        <v>1043893062.6057531</v>
      </c>
      <c r="T173" s="889">
        <v>921843115.77449751</v>
      </c>
      <c r="U173" s="889">
        <v>1320126664.9497812</v>
      </c>
      <c r="V173" s="889">
        <v>1086567367.9108095</v>
      </c>
      <c r="W173" s="889">
        <v>860550294.2734673</v>
      </c>
      <c r="X173" s="889">
        <v>1080774005.564455</v>
      </c>
      <c r="Y173" s="889">
        <v>1221113794.7252271</v>
      </c>
      <c r="Z173" s="889">
        <v>1554125542.5622265</v>
      </c>
      <c r="AA173" s="889">
        <v>2076148710.3181283</v>
      </c>
      <c r="AB173" s="889">
        <v>2312319579.0284286</v>
      </c>
      <c r="AC173" s="889">
        <v>2830236053.8442883</v>
      </c>
      <c r="AD173" s="889">
        <v>3719497371.0965867</v>
      </c>
      <c r="AE173" s="889">
        <v>5161336170.4608393</v>
      </c>
      <c r="AF173" s="889">
        <v>4978154343.7854548</v>
      </c>
      <c r="AG173" s="889">
        <v>5640410958.90411</v>
      </c>
    </row>
    <row r="174" spans="1:33">
      <c r="A174" s="22">
        <v>713</v>
      </c>
      <c r="B174" s="22" t="s">
        <v>156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</row>
    <row r="175" spans="1:33">
      <c r="A175" s="22">
        <v>510</v>
      </c>
      <c r="B175" s="22" t="s">
        <v>107</v>
      </c>
      <c r="C175" s="890"/>
      <c r="D175" s="890"/>
      <c r="E175" s="890"/>
      <c r="F175" s="890"/>
      <c r="G175" s="890"/>
      <c r="H175" s="890"/>
      <c r="I175" s="890"/>
      <c r="J175" s="890"/>
      <c r="K175" s="890">
        <v>5100405823.8811235</v>
      </c>
      <c r="L175" s="890">
        <v>4420165053.3637838</v>
      </c>
      <c r="M175" s="890">
        <v>4258741084.8153005</v>
      </c>
      <c r="N175" s="890">
        <v>4956597377.6608305</v>
      </c>
      <c r="O175" s="890">
        <v>4601414688.3907986</v>
      </c>
      <c r="P175" s="890">
        <v>4257702335.0420179</v>
      </c>
      <c r="Q175" s="890">
        <v>4510845976.8680496</v>
      </c>
      <c r="R175" s="890">
        <v>5255236879.1831846</v>
      </c>
      <c r="S175" s="890">
        <v>6496158706.9866199</v>
      </c>
      <c r="T175" s="890">
        <v>7683883940.271452</v>
      </c>
      <c r="U175" s="890">
        <v>9345191090.9173031</v>
      </c>
      <c r="V175" s="890">
        <v>9697835544.3364315</v>
      </c>
      <c r="W175" s="890">
        <v>10185767294.261692</v>
      </c>
      <c r="X175" s="890">
        <v>10383580744.172249</v>
      </c>
      <c r="Y175" s="890">
        <v>10805631194.520887</v>
      </c>
      <c r="Z175" s="890">
        <v>11659118661.042738</v>
      </c>
      <c r="AA175" s="890">
        <v>12825801580.928102</v>
      </c>
      <c r="AB175" s="890">
        <v>14141919722.499279</v>
      </c>
      <c r="AC175" s="890">
        <v>14331230928.987938</v>
      </c>
      <c r="AD175" s="890">
        <v>16825553272.058952</v>
      </c>
      <c r="AE175" s="890">
        <v>20715098399.465633</v>
      </c>
      <c r="AF175" s="890">
        <v>21368198377.653732</v>
      </c>
      <c r="AG175" s="890">
        <v>23056525009.402031</v>
      </c>
    </row>
    <row r="176" spans="1:33">
      <c r="A176" s="22">
        <v>800</v>
      </c>
      <c r="B176" s="22" t="s">
        <v>168</v>
      </c>
      <c r="C176" s="891">
        <v>32353514503.367424</v>
      </c>
      <c r="D176" s="891">
        <v>34846038519.395241</v>
      </c>
      <c r="E176" s="891">
        <v>36589772335.283798</v>
      </c>
      <c r="F176" s="891">
        <v>40042798314.055977</v>
      </c>
      <c r="G176" s="891">
        <v>41797647302.163872</v>
      </c>
      <c r="H176" s="891">
        <v>38900711298.046135</v>
      </c>
      <c r="I176" s="891">
        <v>43096774495.712212</v>
      </c>
      <c r="J176" s="891">
        <v>50535445680.89917</v>
      </c>
      <c r="K176" s="891">
        <v>61667254411.463699</v>
      </c>
      <c r="L176" s="891">
        <v>72250747142.17337</v>
      </c>
      <c r="M176" s="891">
        <v>85343189319.657516</v>
      </c>
      <c r="N176" s="891">
        <v>98234713406.791779</v>
      </c>
      <c r="O176" s="891">
        <v>111452745856.77614</v>
      </c>
      <c r="P176" s="891">
        <v>125010690988.82056</v>
      </c>
      <c r="Q176" s="891">
        <v>144308067331.74503</v>
      </c>
      <c r="R176" s="891">
        <v>168018557307.61423</v>
      </c>
      <c r="S176" s="891">
        <v>181947631899.93799</v>
      </c>
      <c r="T176" s="891">
        <v>150891449495.04456</v>
      </c>
      <c r="U176" s="891">
        <v>111859654863.98947</v>
      </c>
      <c r="V176" s="891">
        <v>122629741697.71614</v>
      </c>
      <c r="W176" s="891">
        <v>122725247705.55911</v>
      </c>
      <c r="X176" s="891">
        <v>115536405150.35368</v>
      </c>
      <c r="Y176" s="891">
        <v>126876918690.02437</v>
      </c>
      <c r="Z176" s="891">
        <v>142640079033.31226</v>
      </c>
      <c r="AA176" s="891">
        <v>161339790594.62726</v>
      </c>
      <c r="AB176" s="891">
        <v>176351815950.37222</v>
      </c>
      <c r="AC176" s="891">
        <v>207088920189.90363</v>
      </c>
      <c r="AD176" s="891">
        <v>246977009038.81323</v>
      </c>
      <c r="AE176" s="891">
        <v>272577816170.88358</v>
      </c>
      <c r="AF176" s="891">
        <v>263709706585.77844</v>
      </c>
      <c r="AG176" s="891">
        <v>318846998674.49347</v>
      </c>
    </row>
    <row r="177" spans="1:33">
      <c r="A177" s="22">
        <v>701</v>
      </c>
      <c r="B177" s="22" t="s">
        <v>149</v>
      </c>
      <c r="C177" s="898"/>
      <c r="D177" s="898"/>
      <c r="E177" s="898"/>
      <c r="F177" s="898"/>
      <c r="G177" s="898"/>
      <c r="H177" s="898"/>
      <c r="I177" s="898"/>
      <c r="J177" s="898">
        <v>2368660560.8756962</v>
      </c>
      <c r="K177" s="898">
        <v>2988678840.8054061</v>
      </c>
      <c r="L177" s="898">
        <v>3049945191.0725965</v>
      </c>
      <c r="M177" s="898">
        <v>3232066836.5346661</v>
      </c>
      <c r="N177" s="898">
        <v>3197224007.4247184</v>
      </c>
      <c r="O177" s="898">
        <v>3200539816.0600963</v>
      </c>
      <c r="P177" s="898">
        <v>3179225948.5811377</v>
      </c>
      <c r="Q177" s="898">
        <v>2561118608.3551626</v>
      </c>
      <c r="R177" s="898">
        <v>2482228439.7140694</v>
      </c>
      <c r="S177" s="898">
        <v>2379281767.9558015</v>
      </c>
      <c r="T177" s="898">
        <v>2450084970.2474146</v>
      </c>
      <c r="U177" s="898">
        <v>2605688065.0833807</v>
      </c>
      <c r="V177" s="898">
        <v>2450686659.7779951</v>
      </c>
      <c r="W177" s="898">
        <v>2904662604.820529</v>
      </c>
      <c r="X177" s="898">
        <v>3534771968.5118895</v>
      </c>
      <c r="Y177" s="898">
        <v>4462028988.7294865</v>
      </c>
      <c r="Z177" s="898">
        <v>5977440582.8017139</v>
      </c>
      <c r="AA177" s="898">
        <v>6838351088.4668837</v>
      </c>
      <c r="AB177" s="898">
        <v>8104355716.8784027</v>
      </c>
      <c r="AC177" s="898">
        <v>10277598152.424942</v>
      </c>
      <c r="AD177" s="898">
        <v>12664165103.189493</v>
      </c>
      <c r="AE177" s="898">
        <v>17017140631.08687</v>
      </c>
      <c r="AF177" s="898">
        <v>18476842105.263157</v>
      </c>
      <c r="AG177" s="898">
        <v>21074000000</v>
      </c>
    </row>
    <row r="178" spans="1:33">
      <c r="A178" s="22">
        <v>461</v>
      </c>
      <c r="B178" s="22" t="s">
        <v>97</v>
      </c>
      <c r="C178" s="893">
        <v>1136299083.1816857</v>
      </c>
      <c r="D178" s="893">
        <v>962352274.46098053</v>
      </c>
      <c r="E178" s="893">
        <v>821617676.7689265</v>
      </c>
      <c r="F178" s="893">
        <v>765738537.96825588</v>
      </c>
      <c r="G178" s="893">
        <v>718143550.03771651</v>
      </c>
      <c r="H178" s="893">
        <v>762364796.9617399</v>
      </c>
      <c r="I178" s="893">
        <v>1060929847.8048038</v>
      </c>
      <c r="J178" s="893">
        <v>1249084963.594418</v>
      </c>
      <c r="K178" s="893">
        <v>1378853112.8777933</v>
      </c>
      <c r="L178" s="893">
        <v>1352955224.8967333</v>
      </c>
      <c r="M178" s="893">
        <v>1628432255.1473575</v>
      </c>
      <c r="N178" s="893">
        <v>1602293605.3912187</v>
      </c>
      <c r="O178" s="893">
        <v>1692964166.2182274</v>
      </c>
      <c r="P178" s="893">
        <v>1233508156.3877621</v>
      </c>
      <c r="Q178" s="893">
        <v>982632621.16169512</v>
      </c>
      <c r="R178" s="893">
        <v>1309378704.2288167</v>
      </c>
      <c r="S178" s="893">
        <v>1465311925.473896</v>
      </c>
      <c r="T178" s="893">
        <v>1498949402.0950389</v>
      </c>
      <c r="U178" s="893">
        <v>1587350761.3308926</v>
      </c>
      <c r="V178" s="893">
        <v>1576092231.4513452</v>
      </c>
      <c r="W178" s="893">
        <v>1329110396.4594336</v>
      </c>
      <c r="X178" s="893">
        <v>1328031238.6723421</v>
      </c>
      <c r="Y178" s="893">
        <v>1476122551.8142385</v>
      </c>
      <c r="Z178" s="893">
        <v>1758946962.6436336</v>
      </c>
      <c r="AA178" s="893">
        <v>2061009613.0904901</v>
      </c>
      <c r="AB178" s="893">
        <v>2115154592.6125724</v>
      </c>
      <c r="AC178" s="893">
        <v>2202809610.7945652</v>
      </c>
      <c r="AD178" s="893">
        <v>2523461504.2517638</v>
      </c>
      <c r="AE178" s="893">
        <v>3163383040.4163375</v>
      </c>
      <c r="AF178" s="893">
        <v>3156613950.2668443</v>
      </c>
      <c r="AG178" s="893">
        <v>3153400897.3179455</v>
      </c>
    </row>
    <row r="179" spans="1:33">
      <c r="A179" s="22">
        <v>955</v>
      </c>
      <c r="B179" s="22" t="s">
        <v>185</v>
      </c>
      <c r="C179" s="894">
        <v>53260077.431109086</v>
      </c>
      <c r="D179" s="894">
        <v>62242013.330268905</v>
      </c>
      <c r="E179" s="894">
        <v>62068161.071102545</v>
      </c>
      <c r="F179" s="894">
        <v>60863963.963963956</v>
      </c>
      <c r="G179" s="894">
        <v>64248354.541465558</v>
      </c>
      <c r="H179" s="894">
        <v>60058663.314477272</v>
      </c>
      <c r="I179" s="894">
        <v>68195855.614973262</v>
      </c>
      <c r="J179" s="894">
        <v>81667133.45469822</v>
      </c>
      <c r="K179" s="894">
        <v>106657267.36734171</v>
      </c>
      <c r="L179" s="894">
        <v>106344854.98609456</v>
      </c>
      <c r="M179" s="894">
        <v>113563821.57740392</v>
      </c>
      <c r="N179" s="894">
        <v>132201141.44686103</v>
      </c>
      <c r="O179" s="894">
        <v>137066290.55007052</v>
      </c>
      <c r="P179" s="894">
        <v>138489884.3930636</v>
      </c>
      <c r="Q179" s="894">
        <v>193770729.95557782</v>
      </c>
      <c r="R179" s="894">
        <v>202544669.41819575</v>
      </c>
      <c r="S179" s="894">
        <v>219586403.71207178</v>
      </c>
      <c r="T179" s="894">
        <v>212148825.35255492</v>
      </c>
      <c r="U179" s="894">
        <v>188683875.9698782</v>
      </c>
      <c r="V179" s="894">
        <v>194664218.92855555</v>
      </c>
      <c r="W179" s="894">
        <v>188628160.91905263</v>
      </c>
      <c r="X179" s="894">
        <v>165865871.00938615</v>
      </c>
      <c r="Y179" s="894">
        <v>180853022.9123272</v>
      </c>
      <c r="Z179" s="894">
        <v>207622052.7928324</v>
      </c>
      <c r="AA179" s="894">
        <v>238546865.48995739</v>
      </c>
      <c r="AB179" s="894">
        <v>259662952.07040441</v>
      </c>
      <c r="AC179" s="894">
        <v>294944991.47279757</v>
      </c>
      <c r="AD179" s="894">
        <v>305069407.50575441</v>
      </c>
      <c r="AE179" s="894">
        <v>348011965.56994033</v>
      </c>
      <c r="AF179" s="894">
        <v>326082104.22812194</v>
      </c>
      <c r="AG179" s="894">
        <v>357480587.61804831</v>
      </c>
    </row>
    <row r="180" spans="1:33">
      <c r="A180" s="22">
        <v>52</v>
      </c>
      <c r="B180" s="22" t="s">
        <v>7</v>
      </c>
      <c r="C180" s="895">
        <v>6235874738.875268</v>
      </c>
      <c r="D180" s="895">
        <v>6849166234.5052528</v>
      </c>
      <c r="E180" s="895">
        <v>7989791255.8475533</v>
      </c>
      <c r="F180" s="895">
        <v>7799749663.399128</v>
      </c>
      <c r="G180" s="895">
        <v>7756166518.4643002</v>
      </c>
      <c r="H180" s="895">
        <v>7375999751.9530306</v>
      </c>
      <c r="I180" s="895">
        <v>4794361300.3405342</v>
      </c>
      <c r="J180" s="895">
        <v>4797750171.54142</v>
      </c>
      <c r="K180" s="895">
        <v>4496806454.113821</v>
      </c>
      <c r="L180" s="895">
        <v>4323035497.4117651</v>
      </c>
      <c r="M180" s="895">
        <v>5068070430.1176472</v>
      </c>
      <c r="N180" s="895">
        <v>5362823408.9411764</v>
      </c>
      <c r="O180" s="895">
        <v>5532117353.4117651</v>
      </c>
      <c r="P180" s="895">
        <v>4584646145.0744543</v>
      </c>
      <c r="Q180" s="895">
        <v>4947205981.5763741</v>
      </c>
      <c r="R180" s="895">
        <v>5329214154.8528271</v>
      </c>
      <c r="S180" s="895">
        <v>5759537847.6746531</v>
      </c>
      <c r="T180" s="895">
        <v>5737751324.1803236</v>
      </c>
      <c r="U180" s="895">
        <v>6043710211.427187</v>
      </c>
      <c r="V180" s="895">
        <v>6808976088.5967875</v>
      </c>
      <c r="W180" s="895">
        <v>8154315708.3482666</v>
      </c>
      <c r="X180" s="895">
        <v>8824873155.6258392</v>
      </c>
      <c r="Y180" s="895">
        <v>9008273516.3578606</v>
      </c>
      <c r="Z180" s="895">
        <v>11235960523.086939</v>
      </c>
      <c r="AA180" s="895">
        <v>12884712295.994841</v>
      </c>
      <c r="AB180" s="895">
        <v>15982284589.497746</v>
      </c>
      <c r="AC180" s="895">
        <v>18370220923.842793</v>
      </c>
      <c r="AD180" s="895">
        <v>21738492063.492065</v>
      </c>
      <c r="AE180" s="895">
        <v>27132936507.936508</v>
      </c>
      <c r="AF180" s="895">
        <v>19623019762.845848</v>
      </c>
      <c r="AG180" s="895">
        <v>20398239270.554943</v>
      </c>
    </row>
    <row r="181" spans="1:33">
      <c r="A181" s="22">
        <v>616</v>
      </c>
      <c r="B181" s="22" t="s">
        <v>130</v>
      </c>
      <c r="C181" s="896">
        <v>8743054698.110878</v>
      </c>
      <c r="D181" s="896">
        <v>8428513568.246253</v>
      </c>
      <c r="E181" s="896">
        <v>8133538742.8261852</v>
      </c>
      <c r="F181" s="896">
        <v>8350545840.2699003</v>
      </c>
      <c r="G181" s="896">
        <v>8254573072.6156301</v>
      </c>
      <c r="H181" s="896">
        <v>8410185739.9640503</v>
      </c>
      <c r="I181" s="896">
        <v>9017795297.4068985</v>
      </c>
      <c r="J181" s="896">
        <v>9696739314.0733242</v>
      </c>
      <c r="K181" s="896">
        <v>10096292842.154348</v>
      </c>
      <c r="L181" s="896">
        <v>10101862385.707664</v>
      </c>
      <c r="M181" s="896">
        <v>12290568181.818182</v>
      </c>
      <c r="N181" s="896">
        <v>13074782608.695652</v>
      </c>
      <c r="O181" s="896">
        <v>15497286295.793758</v>
      </c>
      <c r="P181" s="896">
        <v>14608946896.483013</v>
      </c>
      <c r="Q181" s="896">
        <v>15632463424.27837</v>
      </c>
      <c r="R181" s="896">
        <v>18030876599.344402</v>
      </c>
      <c r="S181" s="896">
        <v>19587322786.110538</v>
      </c>
      <c r="T181" s="896">
        <v>18897006962.65485</v>
      </c>
      <c r="U181" s="896">
        <v>19812681127.60165</v>
      </c>
      <c r="V181" s="896">
        <v>20798853481.706291</v>
      </c>
      <c r="W181" s="896">
        <v>19443277157.65667</v>
      </c>
      <c r="X181" s="896">
        <v>19988392298.602905</v>
      </c>
      <c r="Y181" s="896">
        <v>21047411855.812592</v>
      </c>
      <c r="Z181" s="896">
        <v>24992239037.640667</v>
      </c>
      <c r="AA181" s="896">
        <v>28129265355.279003</v>
      </c>
      <c r="AB181" s="896">
        <v>28967848882.035469</v>
      </c>
      <c r="AC181" s="896">
        <v>30962208865.514652</v>
      </c>
      <c r="AD181" s="896">
        <v>35619594067.135056</v>
      </c>
      <c r="AE181" s="896">
        <v>40844817790.763741</v>
      </c>
      <c r="AF181" s="896">
        <v>43522180256.239349</v>
      </c>
      <c r="AG181" s="896">
        <v>44290655120.163055</v>
      </c>
    </row>
    <row r="182" spans="1:33">
      <c r="A182" s="22">
        <v>640</v>
      </c>
      <c r="B182" s="22" t="s">
        <v>134</v>
      </c>
      <c r="C182" s="897">
        <v>68789289565.743439</v>
      </c>
      <c r="D182" s="897">
        <v>71040020140.443634</v>
      </c>
      <c r="E182" s="897">
        <v>64546332580.758278</v>
      </c>
      <c r="F182" s="897">
        <v>61678280115.498741</v>
      </c>
      <c r="G182" s="897">
        <v>59989909457.837898</v>
      </c>
      <c r="H182" s="897">
        <v>67234948264.598663</v>
      </c>
      <c r="I182" s="897">
        <v>75728009962.787796</v>
      </c>
      <c r="J182" s="897">
        <v>87172789528.331604</v>
      </c>
      <c r="K182" s="897">
        <v>90852814004.991745</v>
      </c>
      <c r="L182" s="897">
        <v>107143348667.09401</v>
      </c>
      <c r="M182" s="897">
        <v>150676291094.20999</v>
      </c>
      <c r="N182" s="897">
        <v>151041248184.24573</v>
      </c>
      <c r="O182" s="897">
        <v>159095003188.10455</v>
      </c>
      <c r="P182" s="897">
        <v>180422294772.26395</v>
      </c>
      <c r="Q182" s="897">
        <v>130690172297.29729</v>
      </c>
      <c r="R182" s="897">
        <v>169485941048.03494</v>
      </c>
      <c r="S182" s="897">
        <v>181475555282.55527</v>
      </c>
      <c r="T182" s="897">
        <v>189834649111.25739</v>
      </c>
      <c r="U182" s="897">
        <v>269287100115.0748</v>
      </c>
      <c r="V182" s="897">
        <v>249751470869.14996</v>
      </c>
      <c r="W182" s="897">
        <v>266567531989.76328</v>
      </c>
      <c r="X182" s="897">
        <v>196005288838.12009</v>
      </c>
      <c r="Y182" s="897">
        <v>232534560774.9469</v>
      </c>
      <c r="Z182" s="897">
        <v>303005302818.30902</v>
      </c>
      <c r="AA182" s="897">
        <v>392166274991.23114</v>
      </c>
      <c r="AB182" s="897">
        <v>482979839237.86847</v>
      </c>
      <c r="AC182" s="897">
        <v>530900094504.72522</v>
      </c>
      <c r="AD182" s="897">
        <v>647155131629.44202</v>
      </c>
      <c r="AE182" s="897">
        <v>730337495197.84863</v>
      </c>
      <c r="AF182" s="897">
        <v>614553921823.2915</v>
      </c>
      <c r="AG182" s="897">
        <v>735263546522.76123</v>
      </c>
    </row>
    <row r="183" spans="1:33">
      <c r="A183" s="22">
        <v>696</v>
      </c>
      <c r="B183" s="22" t="s">
        <v>146</v>
      </c>
      <c r="C183" s="901">
        <v>29625344050.559246</v>
      </c>
      <c r="D183" s="901">
        <v>32917187644.356007</v>
      </c>
      <c r="E183" s="901">
        <v>30823481151.298759</v>
      </c>
      <c r="F183" s="901">
        <v>27852355893.694279</v>
      </c>
      <c r="G183" s="901">
        <v>27688096363.491772</v>
      </c>
      <c r="H183" s="901">
        <v>27020969429.834698</v>
      </c>
      <c r="I183" s="901">
        <v>21674206574.045074</v>
      </c>
      <c r="J183" s="901">
        <v>23798958314.686512</v>
      </c>
      <c r="K183" s="901">
        <v>23728135785.748936</v>
      </c>
      <c r="L183" s="901">
        <v>27453282089.696007</v>
      </c>
      <c r="M183" s="901">
        <v>33653227968.298317</v>
      </c>
      <c r="N183" s="901">
        <v>33919640389.977348</v>
      </c>
      <c r="O183" s="901">
        <v>35412694052.550064</v>
      </c>
      <c r="P183" s="901">
        <v>35745300971.572456</v>
      </c>
      <c r="Q183" s="901">
        <v>38268046815.041946</v>
      </c>
      <c r="R183" s="901">
        <v>42806864571.42598</v>
      </c>
      <c r="S183" s="901">
        <v>47993462223.622849</v>
      </c>
      <c r="T183" s="901">
        <v>51209479652.588219</v>
      </c>
      <c r="U183" s="901">
        <v>48500477900.041557</v>
      </c>
      <c r="V183" s="901">
        <v>55193466518.727043</v>
      </c>
      <c r="W183" s="901">
        <v>70591424755.707321</v>
      </c>
      <c r="X183" s="901">
        <v>68676925038.664711</v>
      </c>
      <c r="Y183" s="901">
        <v>75284685608.625687</v>
      </c>
      <c r="Z183" s="901">
        <v>88578899739.222977</v>
      </c>
      <c r="AA183" s="901">
        <v>103784073761.02998</v>
      </c>
      <c r="AB183" s="901">
        <v>132999867652.0739</v>
      </c>
      <c r="AC183" s="901">
        <v>163296124473.9129</v>
      </c>
      <c r="AD183" s="901">
        <v>207569781286.57227</v>
      </c>
      <c r="AE183" s="901">
        <v>261347863149.48453</v>
      </c>
      <c r="AF183" s="901">
        <v>230251878598.87906</v>
      </c>
      <c r="AG183" s="901"/>
    </row>
    <row r="184" spans="1:33">
      <c r="A184" s="22">
        <v>500</v>
      </c>
      <c r="B184" s="22" t="s">
        <v>105</v>
      </c>
      <c r="C184" s="899">
        <v>1244610000</v>
      </c>
      <c r="D184" s="899">
        <v>1337300000</v>
      </c>
      <c r="E184" s="899">
        <v>2177500000</v>
      </c>
      <c r="F184" s="899">
        <v>2240333333.3333335</v>
      </c>
      <c r="G184" s="899">
        <v>3615647464.0440278</v>
      </c>
      <c r="H184" s="899">
        <v>3519695202.5933709</v>
      </c>
      <c r="I184" s="899">
        <v>3923244143.1176085</v>
      </c>
      <c r="J184" s="899">
        <v>6269521859.219903</v>
      </c>
      <c r="K184" s="899">
        <v>6508931651.3891897</v>
      </c>
      <c r="L184" s="899">
        <v>5276480932.6427879</v>
      </c>
      <c r="M184" s="899">
        <v>4304399516.0768194</v>
      </c>
      <c r="N184" s="899">
        <v>3321729207.8583622</v>
      </c>
      <c r="O184" s="899">
        <v>2857457785.7085133</v>
      </c>
      <c r="P184" s="899">
        <v>3220439178.1514297</v>
      </c>
      <c r="Q184" s="899">
        <v>3990430537.181242</v>
      </c>
      <c r="R184" s="899">
        <v>5755818793.1142044</v>
      </c>
      <c r="S184" s="899">
        <v>6044585326.9380007</v>
      </c>
      <c r="T184" s="899">
        <v>6269333313.1710835</v>
      </c>
      <c r="U184" s="899">
        <v>6584815846.5275364</v>
      </c>
      <c r="V184" s="899">
        <v>5998563257.9465895</v>
      </c>
      <c r="W184" s="899">
        <v>6193246632.3273029</v>
      </c>
      <c r="X184" s="899">
        <v>5840503702.9399872</v>
      </c>
      <c r="Y184" s="899">
        <v>6178563467.087676</v>
      </c>
      <c r="Z184" s="899">
        <v>6336696288.999361</v>
      </c>
      <c r="AA184" s="899">
        <v>7940362663.2013273</v>
      </c>
      <c r="AB184" s="899">
        <v>9237336678.0304565</v>
      </c>
      <c r="AC184" s="899">
        <v>9977209198.9429245</v>
      </c>
      <c r="AD184" s="899">
        <v>11916019462.507149</v>
      </c>
      <c r="AE184" s="899">
        <v>14440830267.249767</v>
      </c>
      <c r="AF184" s="899">
        <v>15803499656.861687</v>
      </c>
      <c r="AG184" s="899">
        <v>17010765766.699051</v>
      </c>
    </row>
    <row r="185" spans="1:33">
      <c r="A185" s="22">
        <v>200</v>
      </c>
      <c r="B185" s="22" t="s">
        <v>35</v>
      </c>
      <c r="C185" s="902">
        <v>541910295142.92352</v>
      </c>
      <c r="D185" s="902">
        <v>515030144694.53375</v>
      </c>
      <c r="E185" s="902">
        <v>490957372466.8064</v>
      </c>
      <c r="F185" s="902">
        <v>465676822798.24164</v>
      </c>
      <c r="G185" s="902">
        <v>438830806065.44293</v>
      </c>
      <c r="H185" s="902">
        <v>464268480492.81311</v>
      </c>
      <c r="I185" s="902">
        <v>570432424508.94165</v>
      </c>
      <c r="J185" s="902">
        <v>700547475077.62708</v>
      </c>
      <c r="K185" s="902">
        <v>851138384916.39978</v>
      </c>
      <c r="L185" s="902">
        <v>859414267015.70691</v>
      </c>
      <c r="M185" s="902">
        <v>1012576349431.8181</v>
      </c>
      <c r="N185" s="902">
        <v>1055844797178.1306</v>
      </c>
      <c r="O185" s="902">
        <v>1091751491751.4918</v>
      </c>
      <c r="P185" s="902">
        <v>981097780443.91125</v>
      </c>
      <c r="Q185" s="902">
        <v>1060586164677.0739</v>
      </c>
      <c r="R185" s="902">
        <v>1157118510336.1211</v>
      </c>
      <c r="S185" s="902">
        <v>1219541341653.666</v>
      </c>
      <c r="T185" s="902">
        <v>1359027504911.5913</v>
      </c>
      <c r="U185" s="902">
        <v>1455948989731.6992</v>
      </c>
      <c r="V185" s="902">
        <v>1502556220676.2661</v>
      </c>
      <c r="W185" s="902">
        <v>1477580571947.3445</v>
      </c>
      <c r="X185" s="902">
        <v>1470891032100.1873</v>
      </c>
      <c r="Y185" s="902">
        <v>1612056354916.0671</v>
      </c>
      <c r="Z185" s="902">
        <v>1860809795918.3672</v>
      </c>
      <c r="AA185" s="902">
        <v>2202490021604.5991</v>
      </c>
      <c r="AB185" s="902">
        <v>2280113745868.167</v>
      </c>
      <c r="AC185" s="902">
        <v>2444148618090.2207</v>
      </c>
      <c r="AD185" s="902">
        <v>2810971803142.2329</v>
      </c>
      <c r="AE185" s="902">
        <v>2657482269112.4082</v>
      </c>
      <c r="AF185" s="902">
        <v>2173154245317.5557</v>
      </c>
      <c r="AG185" s="902">
        <v>2246079096749.2212</v>
      </c>
    </row>
    <row r="186" spans="1:33">
      <c r="A186" s="22">
        <v>369</v>
      </c>
      <c r="B186" s="22" t="s">
        <v>71</v>
      </c>
      <c r="C186" s="900"/>
      <c r="D186" s="900"/>
      <c r="E186" s="900"/>
      <c r="F186" s="900"/>
      <c r="G186" s="900"/>
      <c r="H186" s="900"/>
      <c r="I186" s="900"/>
      <c r="J186" s="900">
        <v>64087694038.233315</v>
      </c>
      <c r="K186" s="900">
        <v>74703517902.664246</v>
      </c>
      <c r="L186" s="900">
        <v>82707004265.925385</v>
      </c>
      <c r="M186" s="900">
        <v>81456431291.923401</v>
      </c>
      <c r="N186" s="900">
        <v>77464043753.296341</v>
      </c>
      <c r="O186" s="900">
        <v>73942294099.28923</v>
      </c>
      <c r="P186" s="900">
        <v>65648559194.649628</v>
      </c>
      <c r="Q186" s="900">
        <v>52549555009.504387</v>
      </c>
      <c r="R186" s="900">
        <v>48213868185.162483</v>
      </c>
      <c r="S186" s="900">
        <v>44558077827.13501</v>
      </c>
      <c r="T186" s="900">
        <v>50150399813.13279</v>
      </c>
      <c r="U186" s="900">
        <v>41883241479.901405</v>
      </c>
      <c r="V186" s="900">
        <v>31580639053.201347</v>
      </c>
      <c r="W186" s="900">
        <v>31261527363.143963</v>
      </c>
      <c r="X186" s="900">
        <v>38009344576.60878</v>
      </c>
      <c r="Y186" s="900">
        <v>42392896031.239441</v>
      </c>
      <c r="Z186" s="900">
        <v>50132953288.202972</v>
      </c>
      <c r="AA186" s="900">
        <v>64883060725.700317</v>
      </c>
      <c r="AB186" s="900">
        <v>86142018069.350403</v>
      </c>
      <c r="AC186" s="900">
        <v>107753069306.93069</v>
      </c>
      <c r="AD186" s="900">
        <v>142719009900.99011</v>
      </c>
      <c r="AE186" s="900">
        <v>180354647630.61969</v>
      </c>
      <c r="AF186" s="900">
        <v>117227769791.55971</v>
      </c>
      <c r="AG186" s="900">
        <v>137929309475.80646</v>
      </c>
    </row>
    <row r="187" spans="1:33">
      <c r="A187" s="22">
        <v>165</v>
      </c>
      <c r="B187" s="22" t="s">
        <v>34</v>
      </c>
      <c r="C187" s="904">
        <v>10163020115.734362</v>
      </c>
      <c r="D187" s="904">
        <v>11048335541.493334</v>
      </c>
      <c r="E187" s="904">
        <v>9178802451.4014702</v>
      </c>
      <c r="F187" s="904">
        <v>5102281488.7217169</v>
      </c>
      <c r="G187" s="904">
        <v>4850241442.1764326</v>
      </c>
      <c r="H187" s="904">
        <v>4732017873.3836851</v>
      </c>
      <c r="I187" s="904">
        <v>5880112946.8943558</v>
      </c>
      <c r="J187" s="904">
        <v>7367494222.293169</v>
      </c>
      <c r="K187" s="904">
        <v>8213515458.5113859</v>
      </c>
      <c r="L187" s="904">
        <v>8438951476.0664415</v>
      </c>
      <c r="M187" s="904">
        <v>9298839655.2313843</v>
      </c>
      <c r="N187" s="904">
        <v>11206193313.045807</v>
      </c>
      <c r="O187" s="904">
        <v>12878157305.748129</v>
      </c>
      <c r="P187" s="904">
        <v>15002144584.366255</v>
      </c>
      <c r="Q187" s="904">
        <v>17474578502.434616</v>
      </c>
      <c r="R187" s="904">
        <v>19297663096.550636</v>
      </c>
      <c r="S187" s="904">
        <v>20515465834.068214</v>
      </c>
      <c r="T187" s="904">
        <v>23969746851.49939</v>
      </c>
      <c r="U187" s="904">
        <v>25385928196.39867</v>
      </c>
      <c r="V187" s="904">
        <v>23983945190.616673</v>
      </c>
      <c r="W187" s="904">
        <v>22823255805.966358</v>
      </c>
      <c r="X187" s="904">
        <v>20898788420.093182</v>
      </c>
      <c r="Y187" s="904">
        <v>13606494599.021008</v>
      </c>
      <c r="Z187" s="904">
        <v>12045627411.01823</v>
      </c>
      <c r="AA187" s="904">
        <v>13686333821.786444</v>
      </c>
      <c r="AB187" s="904">
        <v>17362872709.749584</v>
      </c>
      <c r="AC187" s="904">
        <v>19802235564.264156</v>
      </c>
      <c r="AD187" s="904">
        <v>23876761050.371147</v>
      </c>
      <c r="AE187" s="904">
        <v>31176899890.641861</v>
      </c>
      <c r="AF187" s="904">
        <v>31322414681.613438</v>
      </c>
      <c r="AG187" s="904">
        <v>40265470148.725464</v>
      </c>
    </row>
    <row r="188" spans="1:33">
      <c r="A188" s="22">
        <v>2</v>
      </c>
      <c r="B188" s="22" t="s">
        <v>0</v>
      </c>
      <c r="C188" s="903">
        <v>2767500000000</v>
      </c>
      <c r="D188" s="903">
        <v>3103800000000</v>
      </c>
      <c r="E188" s="903">
        <v>3227700000000</v>
      </c>
      <c r="F188" s="903">
        <v>3506900000000</v>
      </c>
      <c r="G188" s="903">
        <v>3900400000000</v>
      </c>
      <c r="H188" s="903">
        <v>4184800000000</v>
      </c>
      <c r="I188" s="903">
        <v>4425000000000</v>
      </c>
      <c r="J188" s="903">
        <v>4698900000000</v>
      </c>
      <c r="K188" s="903">
        <v>5061900000000</v>
      </c>
      <c r="L188" s="903">
        <v>5439700000000</v>
      </c>
      <c r="M188" s="903">
        <v>5750800000000</v>
      </c>
      <c r="N188" s="903">
        <v>5930700000000</v>
      </c>
      <c r="O188" s="903">
        <v>6261800000000</v>
      </c>
      <c r="P188" s="903">
        <v>6582900000000</v>
      </c>
      <c r="Q188" s="903">
        <v>6993300000000</v>
      </c>
      <c r="R188" s="903">
        <v>7338400000000</v>
      </c>
      <c r="S188" s="903">
        <v>7751100000000</v>
      </c>
      <c r="T188" s="903">
        <v>8256500000000</v>
      </c>
      <c r="U188" s="903">
        <v>8741000000000</v>
      </c>
      <c r="V188" s="903">
        <v>9301000000000</v>
      </c>
      <c r="W188" s="903">
        <v>9898800000000</v>
      </c>
      <c r="X188" s="903">
        <v>10233900000000</v>
      </c>
      <c r="Y188" s="903">
        <v>10590200000000</v>
      </c>
      <c r="Z188" s="903">
        <v>11089200000000</v>
      </c>
      <c r="AA188" s="903">
        <v>11812300000000</v>
      </c>
      <c r="AB188" s="903">
        <v>12579700000000</v>
      </c>
      <c r="AC188" s="903">
        <v>13336200000000</v>
      </c>
      <c r="AD188" s="903">
        <v>13995000000000</v>
      </c>
      <c r="AE188" s="903">
        <v>14296900000000</v>
      </c>
      <c r="AF188" s="903">
        <v>14043900000000</v>
      </c>
      <c r="AG188" s="903">
        <v>14582400000000</v>
      </c>
    </row>
    <row r="189" spans="1:33">
      <c r="A189" s="22">
        <v>704</v>
      </c>
      <c r="B189" s="22" t="s">
        <v>152</v>
      </c>
      <c r="C189" s="905"/>
      <c r="D189" s="905"/>
      <c r="E189" s="905"/>
      <c r="F189" s="905"/>
      <c r="G189" s="905"/>
      <c r="H189" s="905"/>
      <c r="I189" s="905"/>
      <c r="J189" s="905"/>
      <c r="K189" s="905"/>
      <c r="L189" s="905"/>
      <c r="M189" s="905">
        <v>13360607990.675097</v>
      </c>
      <c r="N189" s="905">
        <v>13800157749.287313</v>
      </c>
      <c r="O189" s="905">
        <v>12953800571.031446</v>
      </c>
      <c r="P189" s="905">
        <v>13099928531.859051</v>
      </c>
      <c r="Q189" s="905">
        <v>12899074347.328846</v>
      </c>
      <c r="R189" s="905">
        <v>13350461532.662041</v>
      </c>
      <c r="S189" s="905">
        <v>13948892215.568863</v>
      </c>
      <c r="T189" s="905">
        <v>14744603773.584906</v>
      </c>
      <c r="U189" s="905">
        <v>14988971210.838272</v>
      </c>
      <c r="V189" s="905">
        <v>17078465982.028242</v>
      </c>
      <c r="W189" s="905">
        <v>13760374487.510038</v>
      </c>
      <c r="X189" s="905">
        <v>11401351420.171762</v>
      </c>
      <c r="Y189" s="905">
        <v>9687951055.2254143</v>
      </c>
      <c r="Z189" s="905">
        <v>10134453435.460291</v>
      </c>
      <c r="AA189" s="905">
        <v>12030023547.88069</v>
      </c>
      <c r="AB189" s="905">
        <v>14307509838.805326</v>
      </c>
      <c r="AC189" s="905">
        <v>17030896203.196272</v>
      </c>
      <c r="AD189" s="905">
        <v>22311393927.881721</v>
      </c>
      <c r="AE189" s="905">
        <v>27917519210.65794</v>
      </c>
      <c r="AF189" s="905">
        <v>32816828372.975262</v>
      </c>
      <c r="AG189" s="905">
        <v>38981605338.33886</v>
      </c>
    </row>
    <row r="190" spans="1:33">
      <c r="A190" s="22">
        <v>935</v>
      </c>
      <c r="B190" s="22" t="s">
        <v>180</v>
      </c>
      <c r="C190" s="906">
        <v>113423182.1702162</v>
      </c>
      <c r="D190" s="906">
        <v>98746408.985871464</v>
      </c>
      <c r="E190" s="906">
        <v>98144643.751342699</v>
      </c>
      <c r="F190" s="906">
        <v>110123776.76900487</v>
      </c>
      <c r="G190" s="906">
        <v>135553759.3969065</v>
      </c>
      <c r="H190" s="906">
        <v>123698508.81713443</v>
      </c>
      <c r="I190" s="906">
        <v>118691400.75662653</v>
      </c>
      <c r="J190" s="906">
        <v>130834146.21678597</v>
      </c>
      <c r="K190" s="906">
        <v>148545377.85871235</v>
      </c>
      <c r="L190" s="906">
        <v>144482170.47668496</v>
      </c>
      <c r="M190" s="906">
        <v>158397406.34471568</v>
      </c>
      <c r="N190" s="906">
        <v>188869985.15724799</v>
      </c>
      <c r="O190" s="906">
        <v>196142587.97097343</v>
      </c>
      <c r="P190" s="906">
        <v>188080372.41781354</v>
      </c>
      <c r="Q190" s="906">
        <v>219260343.34995735</v>
      </c>
      <c r="R190" s="906">
        <v>233902114.74095982</v>
      </c>
      <c r="S190" s="906">
        <v>245177629.28446198</v>
      </c>
      <c r="T190" s="906">
        <v>255890215.73467276</v>
      </c>
      <c r="U190" s="906">
        <v>271052988.83437294</v>
      </c>
      <c r="V190" s="906">
        <v>276932016.2696107</v>
      </c>
      <c r="W190" s="906">
        <v>280776470.77627462</v>
      </c>
      <c r="X190" s="906">
        <v>267003870.96774194</v>
      </c>
      <c r="Y190" s="906">
        <v>271626880.50069577</v>
      </c>
      <c r="Z190" s="906">
        <v>324750468.94488221</v>
      </c>
      <c r="AA190" s="906">
        <v>376357455.94418103</v>
      </c>
      <c r="AB190" s="906">
        <v>406432100.82218266</v>
      </c>
      <c r="AC190" s="906">
        <v>448572250.59339708</v>
      </c>
      <c r="AD190" s="906">
        <v>544563540.87350392</v>
      </c>
      <c r="AE190" s="906">
        <v>619283529.06345606</v>
      </c>
      <c r="AF190" s="906">
        <v>616110011.00797296</v>
      </c>
      <c r="AG190" s="906">
        <v>728953084.1951015</v>
      </c>
    </row>
    <row r="191" spans="1:33">
      <c r="A191" s="22">
        <v>101</v>
      </c>
      <c r="B191" s="22" t="s">
        <v>24</v>
      </c>
      <c r="C191" s="907">
        <v>67135122863.875237</v>
      </c>
      <c r="D191" s="907">
        <v>75498829319.376877</v>
      </c>
      <c r="E191" s="907">
        <v>76693647866.348801</v>
      </c>
      <c r="F191" s="907">
        <v>78586503425.993073</v>
      </c>
      <c r="G191" s="907">
        <v>55952339079.640205</v>
      </c>
      <c r="H191" s="907">
        <v>57935742246.699669</v>
      </c>
      <c r="I191" s="907">
        <v>58915108093.876976</v>
      </c>
      <c r="J191" s="907">
        <v>45343793675.975906</v>
      </c>
      <c r="K191" s="907">
        <v>58428404473.559189</v>
      </c>
      <c r="L191" s="907">
        <v>42142303738.549255</v>
      </c>
      <c r="M191" s="907">
        <v>47027508385.029518</v>
      </c>
      <c r="N191" s="907">
        <v>51734363023.784004</v>
      </c>
      <c r="O191" s="907">
        <v>58470358475.867729</v>
      </c>
      <c r="P191" s="907">
        <v>58107555298.463974</v>
      </c>
      <c r="Q191" s="907">
        <v>56529904239.460892</v>
      </c>
      <c r="R191" s="907">
        <v>74888742183.684631</v>
      </c>
      <c r="S191" s="907">
        <v>68258588862.784515</v>
      </c>
      <c r="T191" s="907">
        <v>85837385778.751007</v>
      </c>
      <c r="U191" s="907">
        <v>91338542541.76741</v>
      </c>
      <c r="V191" s="907">
        <v>97974136436.652771</v>
      </c>
      <c r="W191" s="907">
        <v>117147614565.56268</v>
      </c>
      <c r="X191" s="907">
        <v>122909734601.32159</v>
      </c>
      <c r="Y191" s="907">
        <v>92889586976.183304</v>
      </c>
      <c r="Z191" s="907">
        <v>83622191418.977432</v>
      </c>
      <c r="AA191" s="907">
        <v>112451400422.98222</v>
      </c>
      <c r="AB191" s="907">
        <v>145513489651.87222</v>
      </c>
      <c r="AC191" s="907">
        <v>183477522123.89383</v>
      </c>
      <c r="AD191" s="907">
        <v>226537506287.84354</v>
      </c>
      <c r="AE191" s="907">
        <v>311130615277.13092</v>
      </c>
      <c r="AF191" s="907">
        <v>326132984629.71594</v>
      </c>
      <c r="AG191" s="907">
        <v>387851676867.29517</v>
      </c>
    </row>
    <row r="192" spans="1:33">
      <c r="A192" s="22">
        <v>990</v>
      </c>
      <c r="B192" s="22" t="s">
        <v>190</v>
      </c>
      <c r="C192" s="864"/>
      <c r="D192" s="864"/>
      <c r="E192" s="864">
        <v>108006925.40091065</v>
      </c>
      <c r="F192" s="864">
        <v>99668848.770346597</v>
      </c>
      <c r="G192" s="864">
        <v>97298513.646199003</v>
      </c>
      <c r="H192" s="864">
        <v>85156795.763561815</v>
      </c>
      <c r="I192" s="864">
        <v>89947043.681458637</v>
      </c>
      <c r="J192" s="864">
        <v>99540468.207205877</v>
      </c>
      <c r="K192" s="864">
        <v>118518518.73598474</v>
      </c>
      <c r="L192" s="864">
        <v>109494843.26022431</v>
      </c>
      <c r="M192" s="864">
        <v>112058888.22303054</v>
      </c>
      <c r="N192" s="864">
        <v>111908235.96706551</v>
      </c>
      <c r="O192" s="864">
        <v>117883207.84936588</v>
      </c>
      <c r="P192" s="864">
        <v>118613703.55305876</v>
      </c>
      <c r="Q192" s="864">
        <v>197000394.47731754</v>
      </c>
      <c r="R192" s="864">
        <v>200357402.76542413</v>
      </c>
      <c r="S192" s="864">
        <v>222670196.52693099</v>
      </c>
      <c r="T192" s="864">
        <v>254361347.16066098</v>
      </c>
      <c r="U192" s="864">
        <v>240113812.8601107</v>
      </c>
      <c r="V192" s="864">
        <v>230621434.54260901</v>
      </c>
      <c r="W192" s="864">
        <v>245617502.95131129</v>
      </c>
      <c r="X192" s="864">
        <v>243336183.69104961</v>
      </c>
      <c r="Y192" s="864">
        <v>256677700.10898793</v>
      </c>
      <c r="Z192" s="864">
        <v>301905953.02349198</v>
      </c>
      <c r="AA192" s="864">
        <v>374507187.85692811</v>
      </c>
      <c r="AB192" s="864">
        <v>412220560.2599228</v>
      </c>
      <c r="AC192" s="864">
        <v>441660283.46226221</v>
      </c>
      <c r="AD192" s="864">
        <v>493164717.05529892</v>
      </c>
      <c r="AE192" s="864">
        <v>578899186.46637034</v>
      </c>
      <c r="AF192" s="864">
        <v>496485298.0500927</v>
      </c>
      <c r="AG192" s="864">
        <v>565203177.94940495</v>
      </c>
    </row>
    <row r="193" spans="1:33">
      <c r="A193" s="22">
        <v>679</v>
      </c>
      <c r="B193" s="22" t="s">
        <v>142</v>
      </c>
      <c r="C193" s="909"/>
      <c r="D193" s="909"/>
      <c r="E193" s="909"/>
      <c r="F193" s="909"/>
      <c r="G193" s="909"/>
      <c r="H193" s="909"/>
      <c r="I193" s="909"/>
      <c r="J193" s="909"/>
      <c r="K193" s="909"/>
      <c r="L193" s="909"/>
      <c r="M193" s="909">
        <v>4827824503.2061071</v>
      </c>
      <c r="N193" s="909">
        <v>5083703647.6767673</v>
      </c>
      <c r="O193" s="909">
        <v>5755079583.3383284</v>
      </c>
      <c r="P193" s="909">
        <v>4900925402.0974703</v>
      </c>
      <c r="Q193" s="909">
        <v>3794476777.01548</v>
      </c>
      <c r="R193" s="909">
        <v>4236297071.1808696</v>
      </c>
      <c r="S193" s="909">
        <v>5793813887.510726</v>
      </c>
      <c r="T193" s="909">
        <v>6936303759.1695929</v>
      </c>
      <c r="U193" s="909">
        <v>6318571349.9138575</v>
      </c>
      <c r="V193" s="909">
        <v>7467832877.3809071</v>
      </c>
      <c r="W193" s="909">
        <v>9441473354.8522739</v>
      </c>
      <c r="X193" s="909">
        <v>9459570743.5733261</v>
      </c>
      <c r="Y193" s="909">
        <v>9902721941.3033447</v>
      </c>
      <c r="Z193" s="909">
        <v>11006776814.317789</v>
      </c>
      <c r="AA193" s="909">
        <v>13873381756.53735</v>
      </c>
      <c r="AB193" s="909">
        <v>16736795898.331589</v>
      </c>
      <c r="AC193" s="909">
        <v>19081645676.844982</v>
      </c>
      <c r="AD193" s="909">
        <v>21656550140.159687</v>
      </c>
      <c r="AE193" s="909">
        <v>26917363956.0592</v>
      </c>
      <c r="AF193" s="909">
        <v>26365156990.243877</v>
      </c>
      <c r="AG193" s="909"/>
    </row>
    <row r="194" spans="1:33">
      <c r="A194" s="22">
        <v>345</v>
      </c>
      <c r="B194" s="22" t="s">
        <v>59</v>
      </c>
      <c r="C194" s="869"/>
      <c r="D194" s="869"/>
      <c r="E194" s="869"/>
      <c r="F194" s="869"/>
      <c r="G194" s="869"/>
      <c r="H194" s="869"/>
      <c r="I194" s="869"/>
      <c r="J194" s="869"/>
      <c r="K194" s="869"/>
      <c r="L194" s="869"/>
      <c r="M194" s="869"/>
      <c r="N194" s="869"/>
      <c r="O194" s="869"/>
      <c r="P194" s="869"/>
      <c r="Q194" s="869"/>
      <c r="R194" s="869"/>
      <c r="S194" s="869"/>
      <c r="T194" s="869">
        <v>21380951575.52898</v>
      </c>
      <c r="U194" s="869">
        <v>16204161183.554653</v>
      </c>
      <c r="V194" s="869">
        <v>17632705912.618446</v>
      </c>
      <c r="W194" s="869">
        <v>6082791506.1765919</v>
      </c>
      <c r="X194" s="869">
        <v>11390468618.534021</v>
      </c>
      <c r="Y194" s="869">
        <v>15107552528.560535</v>
      </c>
      <c r="Z194" s="869">
        <v>19675596592.191772</v>
      </c>
      <c r="AA194" s="869">
        <v>23710517390.812828</v>
      </c>
      <c r="AB194" s="869">
        <v>25234408772.99749</v>
      </c>
      <c r="AC194" s="869">
        <v>29221081586.636845</v>
      </c>
      <c r="AD194" s="869">
        <v>39385398650.209145</v>
      </c>
      <c r="AE194" s="869">
        <v>48856609868.36792</v>
      </c>
      <c r="AF194" s="869">
        <v>41653965783.079758</v>
      </c>
      <c r="AG194" s="869">
        <v>39128329377.152267</v>
      </c>
    </row>
    <row r="195" spans="1:33">
      <c r="A195" s="22">
        <v>551</v>
      </c>
      <c r="B195" s="22" t="s">
        <v>116</v>
      </c>
      <c r="C195" s="910">
        <v>3883923701.23878</v>
      </c>
      <c r="D195" s="910">
        <v>4008142069.609345</v>
      </c>
      <c r="E195" s="910">
        <v>3871158775.2208343</v>
      </c>
      <c r="F195" s="910">
        <v>3320520924.8999658</v>
      </c>
      <c r="G195" s="910">
        <v>2719501332.6159639</v>
      </c>
      <c r="H195" s="910">
        <v>2252484416.2362366</v>
      </c>
      <c r="I195" s="910">
        <v>1664402680.7940507</v>
      </c>
      <c r="J195" s="910">
        <v>2265245102.914124</v>
      </c>
      <c r="K195" s="910">
        <v>3728889527.2353697</v>
      </c>
      <c r="L195" s="910">
        <v>3994585267.8372297</v>
      </c>
      <c r="M195" s="910">
        <v>3288381745.332087</v>
      </c>
      <c r="N195" s="910">
        <v>3376791604.1619768</v>
      </c>
      <c r="O195" s="910">
        <v>3182810919.6153603</v>
      </c>
      <c r="P195" s="910">
        <v>3273505269.577261</v>
      </c>
      <c r="Q195" s="910">
        <v>3346574626.6390953</v>
      </c>
      <c r="R195" s="910">
        <v>3477642088.7708569</v>
      </c>
      <c r="S195" s="910">
        <v>3270303736.9042211</v>
      </c>
      <c r="T195" s="910">
        <v>3910384000.0486879</v>
      </c>
      <c r="U195" s="910">
        <v>3237203900.1161418</v>
      </c>
      <c r="V195" s="910">
        <v>3131338936.0930967</v>
      </c>
      <c r="W195" s="910">
        <v>3237716324.8310294</v>
      </c>
      <c r="X195" s="910">
        <v>3636936435.6931281</v>
      </c>
      <c r="Y195" s="910">
        <v>3716091408.8329124</v>
      </c>
      <c r="Z195" s="910">
        <v>4373861968.2398996</v>
      </c>
      <c r="AA195" s="910">
        <v>5439176259.818614</v>
      </c>
      <c r="AB195" s="910">
        <v>7178556949.3010445</v>
      </c>
      <c r="AC195" s="910">
        <v>10702206685.724836</v>
      </c>
      <c r="AD195" s="910">
        <v>11541428666.230101</v>
      </c>
      <c r="AE195" s="910">
        <v>14640794797.858955</v>
      </c>
      <c r="AF195" s="910">
        <v>12805027606.307356</v>
      </c>
      <c r="AG195" s="910">
        <v>16192857209.288303</v>
      </c>
    </row>
    <row r="196" spans="1:33">
      <c r="A196" s="22">
        <v>552</v>
      </c>
      <c r="B196" s="22" t="s">
        <v>117</v>
      </c>
      <c r="C196" s="911">
        <v>6678868223.7445545</v>
      </c>
      <c r="D196" s="911">
        <v>8011373807.2404261</v>
      </c>
      <c r="E196" s="911">
        <v>8539700673.7642574</v>
      </c>
      <c r="F196" s="911">
        <v>7764066988.9722071</v>
      </c>
      <c r="G196" s="911">
        <v>6352125901.0156879</v>
      </c>
      <c r="H196" s="911">
        <v>5637259334.8117857</v>
      </c>
      <c r="I196" s="911">
        <v>6217523684.2240314</v>
      </c>
      <c r="J196" s="911">
        <v>6741215094.8046331</v>
      </c>
      <c r="K196" s="911">
        <v>7814784051.6649017</v>
      </c>
      <c r="L196" s="911">
        <v>8286322699.2029705</v>
      </c>
      <c r="M196" s="911">
        <v>8783816665.8957081</v>
      </c>
      <c r="N196" s="911">
        <v>8641481700.9196167</v>
      </c>
      <c r="O196" s="911">
        <v>6751472200.8585787</v>
      </c>
      <c r="P196" s="911">
        <v>6563813295.233819</v>
      </c>
      <c r="Q196" s="911">
        <v>6890674988.5379057</v>
      </c>
      <c r="R196" s="911">
        <v>7111270668.8872709</v>
      </c>
      <c r="S196" s="911">
        <v>8553146596.9838972</v>
      </c>
      <c r="T196" s="911">
        <v>8529571573.455409</v>
      </c>
      <c r="U196" s="911">
        <v>6401968164.1055889</v>
      </c>
      <c r="V196" s="911">
        <v>6772312400.6343231</v>
      </c>
      <c r="W196" s="911">
        <v>6606515168.8252773</v>
      </c>
      <c r="X196" s="911">
        <v>6759128009.5489988</v>
      </c>
      <c r="Y196" s="911">
        <v>6291329827.3600836</v>
      </c>
      <c r="Z196" s="911">
        <v>5658028910.7184887</v>
      </c>
      <c r="AA196" s="911">
        <v>5671234225.9523468</v>
      </c>
      <c r="AB196" s="911">
        <v>5583363612.4437485</v>
      </c>
      <c r="AC196" s="911">
        <v>5203343319.9663191</v>
      </c>
      <c r="AD196" s="911">
        <v>5018218225.5690975</v>
      </c>
      <c r="AE196" s="911">
        <v>4416000000</v>
      </c>
      <c r="AF196" s="911">
        <v>5836000000</v>
      </c>
      <c r="AG196" s="911">
        <v>7474000000</v>
      </c>
    </row>
  </sheetData>
  <sortState ref="A6:AF192">
    <sortCondition ref="B6:B19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States</vt:lpstr>
      <vt:lpstr>State Visits</vt:lpstr>
      <vt:lpstr>Diplomatic Contacts</vt:lpstr>
      <vt:lpstr>Cooperation</vt:lpstr>
      <vt:lpstr>Conflict</vt:lpstr>
      <vt:lpstr>PennGDP, constant</vt:lpstr>
      <vt:lpstr>PennGDP, current</vt:lpstr>
      <vt:lpstr>WBGDP, constant</vt:lpstr>
      <vt:lpstr>WBGDP, current</vt:lpstr>
      <vt:lpstr>Milex</vt:lpstr>
      <vt:lpstr>Capacity</vt:lpstr>
      <vt:lpstr>CINC</vt:lpstr>
      <vt:lpstr>Polity IV</vt:lpstr>
      <vt:lpstr>Exports</vt:lpstr>
      <vt:lpstr>Imports</vt:lpstr>
      <vt:lpstr>MID Freq</vt:lpstr>
      <vt:lpstr>MID Hostility</vt:lpstr>
    </vt:vector>
  </TitlesOfParts>
  <Company>University of Arizona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Tom</cp:lastModifiedBy>
  <dcterms:created xsi:type="dcterms:W3CDTF">2011-05-04T18:04:00Z</dcterms:created>
  <dcterms:modified xsi:type="dcterms:W3CDTF">2011-08-10T15:35:13Z</dcterms:modified>
</cp:coreProperties>
</file>